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/>
  </bookViews>
  <sheets>
    <sheet name="目录" sheetId="13" r:id="rId1"/>
    <sheet name="公共预算收入决算情况表" sheetId="1" r:id="rId2"/>
    <sheet name="公共预算支出决算情况表" sheetId="2" r:id="rId3"/>
    <sheet name="公共预算支出决算情况表（政府经济科目）" sheetId="7" r:id="rId4"/>
    <sheet name="县本级公共预算收入决算情况表" sheetId="9" r:id="rId5"/>
    <sheet name="县本级公共预算支出决算情况表" sheetId="21" r:id="rId6"/>
    <sheet name="县本级公共预算支出决算情况表（政府经济科目）" sheetId="12" r:id="rId7"/>
    <sheet name="县本级公共预算基本支出决算表" sheetId="14" r:id="rId8"/>
    <sheet name="一般公共预算税收返还和转移支付决算表" sheetId="15" r:id="rId9"/>
    <sheet name="基金收入决算情况表" sheetId="3" r:id="rId10"/>
    <sheet name="基金支出决算情况表" sheetId="4" r:id="rId11"/>
    <sheet name="政府性基金转移支付决算表" sheetId="17" r:id="rId12"/>
    <sheet name="社会保险基金收入决算表" sheetId="20" r:id="rId13"/>
    <sheet name="国有资本经营预算收入决算表" sheetId="18" r:id="rId14"/>
    <sheet name="国有资本经营预算支出决算表" sheetId="19" r:id="rId15"/>
    <sheet name="预备费使用情况" sheetId="8" r:id="rId16"/>
    <sheet name="政府一般债务限额和余额情况决算表" sheetId="16" r:id="rId17"/>
    <sheet name="乡镇结算表" sheetId="22" r:id="rId18"/>
  </sheets>
  <externalReferences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</externalReferences>
  <definedNames>
    <definedName name="_xlnm._FilterDatabase" localSheetId="2" hidden="1">公共预算支出决算情况表!$A$6:$XFC$150</definedName>
    <definedName name="_xlnm._FilterDatabase" localSheetId="10" hidden="1">基金支出决算情况表!$A$7:$XET$70</definedName>
    <definedName name="_xlnm._FilterDatabase" localSheetId="1" hidden="1">公共预算收入决算情况表!$A$4:$J$4</definedName>
    <definedName name="_xlnm._FilterDatabase" localSheetId="3" hidden="1">'公共预算支出决算情况表（政府经济科目）'!$A$6:$H$59</definedName>
    <definedName name="_xlnm._FilterDatabase" localSheetId="7" hidden="1">县本级公共预算基本支出决算表!$A$6:$C$35</definedName>
    <definedName name="_xlnm._FilterDatabase" localSheetId="6" hidden="1">'县本级公共预算支出决算情况表（政府经济科目）'!$A$6:$D$6</definedName>
    <definedName name="_xlnm.Print_Titles" localSheetId="1">公共预算收入决算情况表!$1:$4</definedName>
    <definedName name="_xlnm.Print_Titles" localSheetId="2">公共预算支出决算情况表!$1:$5</definedName>
    <definedName name="_xlnm.Print_Titles" localSheetId="3">'公共预算支出决算情况表（政府经济科目）'!$1:$5</definedName>
    <definedName name="_xlnm.Print_Titles" localSheetId="9">基金收入决算情况表!$1:$4</definedName>
    <definedName name="_xlnm.Print_Titles" localSheetId="10">基金支出决算情况表!$1:$6</definedName>
    <definedName name="_xlnm.Print_Titles" localSheetId="7">县本级公共预算基本支出决算表!$1:$5</definedName>
    <definedName name="_xlnm.Print_Titles" localSheetId="6">'县本级公共预算支出决算情况表（政府经济科目）'!$1:$5</definedName>
    <definedName name="_xlnm.Print_Titles" localSheetId="15">预备费使用情况!$1:$5</definedName>
    <definedName name="_xlnm._FilterDatabase" localSheetId="15" hidden="1">预备费使用情况!$A$4:$H$4</definedName>
    <definedName name="_xlnm._FilterDatabase" localSheetId="5" hidden="1">县本级公共预算支出决算情况表!$A$7:$XEY$483</definedName>
    <definedName name="_xlnm.Print_Titles" localSheetId="5">县本级公共预算支出决算情况表!$1:$6</definedName>
    <definedName name="_xlnm._FilterDatabase" localSheetId="9" hidden="1">基金收入决算情况表!$A$4:$I$10</definedName>
    <definedName name="_xlnm.Print_Area" localSheetId="15">预备费使用情况!$A$1:$F$535</definedName>
    <definedName name="_xlnm._FilterDatabase" localSheetId="4" hidden="1">县本级公共预算收入决算情况表!$A$5:$J$5</definedName>
    <definedName name="_xlnm._FilterDatabase" localSheetId="8" hidden="1">一般公共预算税收返还和转移支付决算表!$A$6:$B$50</definedName>
    <definedName name="_21114">#REF!</definedName>
    <definedName name="_Fill" hidden="1">[1]eqpmad2!#REF!</definedName>
    <definedName name="_Order1" hidden="1">255</definedName>
    <definedName name="_Order2" hidden="1">255</definedName>
    <definedName name="A">#REF!</definedName>
    <definedName name="aa">#REF!</definedName>
    <definedName name="as">#N/A</definedName>
    <definedName name="data">#REF!</definedName>
    <definedName name="Database" hidden="1">#REF!</definedName>
    <definedName name="database2">#REF!</definedName>
    <definedName name="database3">#REF!</definedName>
    <definedName name="dss" hidden="1">#REF!</definedName>
    <definedName name="E206.">#REF!</definedName>
    <definedName name="eee">#REF!</definedName>
    <definedName name="fff">#REF!</definedName>
    <definedName name="gxxe2003">'[2]P1012001'!$A$6:$E$117</definedName>
    <definedName name="gxxe20032">'[2]P1012001'!$A$6:$E$117</definedName>
    <definedName name="hhhh">#REF!</definedName>
    <definedName name="HWSheet">1</definedName>
    <definedName name="kkkk">#REF!</definedName>
    <definedName name="_xlnm.Print_Area">#N/A</definedName>
    <definedName name="Print_Area_MI">#REF!</definedName>
    <definedName name="rrrr">#REF!</definedName>
    <definedName name="s">#REF!</definedName>
    <definedName name="sfeggsafasfas">#REF!</definedName>
    <definedName name="ss">#REF!</definedName>
    <definedName name="ttt">#REF!</definedName>
    <definedName name="tttt">#REF!</definedName>
    <definedName name="www">#REF!</definedName>
    <definedName name="yyyy">#REF!</definedName>
    <definedName name="本级标准收入2004年">[3]本年收入合计!$E$4:$E$184</definedName>
    <definedName name="拨款汇总_合计">SUM([4]汇总!#REF!)</definedName>
    <definedName name="财力">#REF!</definedName>
    <definedName name="财政供养人员增幅2004年">[5]财政供养人员增幅!$E$6</definedName>
    <definedName name="财政供养人员增幅2004年分县">[5]财政供养人员增幅!$E$4:$E$184</definedName>
    <definedName name="村级标准支出">[6]村级支出!$E$4:$E$184</definedName>
    <definedName name="大多数">[7]Sheet2!$A$15</definedName>
    <definedName name="大幅度">#REF!</definedName>
    <definedName name="地区名称">[8]封面!#REF!</definedName>
    <definedName name="第二产业分县2003年">[9]GDP!$G$4:$G$184</definedName>
    <definedName name="第二产业合计2003年">[9]GDP!$G$4</definedName>
    <definedName name="第三产业分县2003年">[9]GDP!$H$4:$H$184</definedName>
    <definedName name="第三产业合计2003年">[9]GDP!$H$4</definedName>
    <definedName name="耕地占用税分县2003年">[10]一般预算收入!$U$4:$U$184</definedName>
    <definedName name="耕地占用税合计2003年">[10]一般预算收入!$U$4</definedName>
    <definedName name="工商税收2004年">[11]工商税收!$S$4:$S$184</definedName>
    <definedName name="工商税收合计2004年">[11]工商税收!$S$4</definedName>
    <definedName name="公检法司部门编制数">[12]公检法司编制!$E$4:$E$184</definedName>
    <definedName name="公用标准支出">[13]合计!$E$4:$E$184</definedName>
    <definedName name="行政管理部门编制数">[12]行政编制!$E$4:$E$184</definedName>
    <definedName name="汇率">#REF!</definedName>
    <definedName name="科目编码">[14]编码!$A$2:$A$145</definedName>
    <definedName name="农业人口2003年">[15]农业人口!$E$4:$E$184</definedName>
    <definedName name="农业税分县2003年">[10]一般预算收入!$S$4:$S$184</definedName>
    <definedName name="农业税合计2003年">[10]一般预算收入!$S$4</definedName>
    <definedName name="农业特产税分县2003年">[10]一般预算收入!$T$4:$T$184</definedName>
    <definedName name="农业特产税合计2003年">[10]一般预算收入!$T$4</definedName>
    <definedName name="农业用地面积">[16]农业用地!$E$4:$E$184</definedName>
    <definedName name="契税分县2003年">[10]一般预算收入!$V$4:$V$184</definedName>
    <definedName name="契税合计2003年">[10]一般预算收入!$V$4</definedName>
    <definedName name="全额差额比例">'[17]C01-1'!#REF!</definedName>
    <definedName name="人员标准支出">[18]人员支出!$E$4:$E$184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23">#REF!</definedName>
    <definedName name="生产期15">#REF!</definedName>
    <definedName name="生产期16">#REF!</definedName>
    <definedName name="生产期17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  <definedName name="事业发展支出">[19]事业发展!$E$4:$E$184</definedName>
    <definedName name="是">#REF!</definedName>
    <definedName name="位次d">[20]四月份月报!#REF!</definedName>
    <definedName name="乡镇个数">[21]行政区划!$D$6:$D$184</definedName>
    <definedName name="性别">[22]基础编码!$H$2:$H$3</definedName>
    <definedName name="学历">[22]基础编码!$S$2:$S$9</definedName>
    <definedName name="一般预算收入2002年">'[23]2002年一般预算收入'!$AC$4:$AC$184</definedName>
    <definedName name="一般预算收入2003年">[10]一般预算收入!$AD$4:$AD$184</definedName>
    <definedName name="一般预算收入合计2003年">[10]一般预算收入!$AC$4</definedName>
    <definedName name="支出">'[24]P1012001'!$A$6:$E$117</definedName>
    <definedName name="中国">#REF!</definedName>
    <definedName name="中小学生人数2003年">[25]中小学生!$E$4:$E$184</definedName>
    <definedName name="总人口2003年">[26]总人口!$E$4:$E$184</definedName>
    <definedName name="전">#REF!</definedName>
    <definedName name="주택사업본부">#REF!</definedName>
    <definedName name="철구사업본부">#REF!</definedName>
    <definedName name="Module.Prix_SMC" localSheetId="17">乡镇结算表!Module.Prix_SMC</definedName>
    <definedName name="_xlnm._FilterDatabase" localSheetId="17" hidden="1">乡镇结算表!$A$5:$J$40</definedName>
    <definedName name="_xlnm.Print_Titles" localSheetId="17">乡镇结算表!$2:$5</definedName>
    <definedName name="_xlnm.Print_Area" localSheetId="2">公共预算支出决算情况表!$A$1:$K$150</definedName>
    <definedName name="_xlnm.Print_Area" localSheetId="5">县本级公共预算支出决算情况表!$A$1:$K$483</definedName>
    <definedName name="_xlnm.Print_Area" localSheetId="9">基金收入决算情况表!$A$1:$H$10</definedName>
    <definedName name="_xlnm.Print_Area" localSheetId="10">基金支出决算情况表!$A$1:$L$70</definedName>
    <definedName name="_xlnm._FilterDatabase" localSheetId="12" hidden="1">社会保险基金收入决算表!$A$4:$J$18</definedName>
  </definedNames>
  <calcPr calcId="144525"/>
</workbook>
</file>

<file path=xl/comments1.xml><?xml version="1.0" encoding="utf-8"?>
<comments xmlns="http://schemas.openxmlformats.org/spreadsheetml/2006/main">
  <authors>
    <author>User</author>
    <author>Administrator</author>
  </authors>
  <commentList>
    <comment ref="A12" authorId="0">
      <text>
        <r>
          <rPr>
            <b/>
            <sz val="9"/>
            <rFont val="宋体"/>
            <charset val="134"/>
          </rPr>
          <t>下达当年的上专指标</t>
        </r>
      </text>
    </comment>
    <comment ref="A16" authorId="1">
      <text>
        <r>
          <rPr>
            <sz val="9"/>
            <rFont val="宋体"/>
            <charset val="134"/>
          </rPr>
          <t xml:space="preserve">当年所有的基本支出加100万元
</t>
        </r>
      </text>
    </comment>
    <comment ref="A17" authorId="1">
      <text>
        <r>
          <rPr>
            <sz val="9"/>
            <rFont val="宋体"/>
            <charset val="134"/>
          </rPr>
          <t>按照体制，所有基本支出</t>
        </r>
      </text>
    </comment>
    <comment ref="A27" authorId="1">
      <text>
        <r>
          <rPr>
            <sz val="9"/>
            <rFont val="宋体"/>
            <charset val="134"/>
          </rPr>
          <t xml:space="preserve">下达以前年度资金指标
</t>
        </r>
      </text>
    </comment>
  </commentList>
</comments>
</file>

<file path=xl/sharedStrings.xml><?xml version="1.0" encoding="utf-8"?>
<sst xmlns="http://schemas.openxmlformats.org/spreadsheetml/2006/main" count="2444" uniqueCount="1238">
  <si>
    <t>附件</t>
  </si>
  <si>
    <t>修文县2021年全县和县本级财政决算报告附表</t>
  </si>
  <si>
    <t>目   录</t>
  </si>
  <si>
    <t>附表1</t>
  </si>
  <si>
    <t>修文县2021年全县一般公共预算收入决算情况表</t>
  </si>
  <si>
    <t>附表2</t>
  </si>
  <si>
    <t>修文县2021年全县一般公共预算支出决算情况表</t>
  </si>
  <si>
    <t>附表3</t>
  </si>
  <si>
    <t>修文县2021年全县一般公共预算支出决算情况表（政府经济科目）</t>
  </si>
  <si>
    <t>附表4</t>
  </si>
  <si>
    <t>修文县2021年县本级一般公共预算收入决算情况表</t>
  </si>
  <si>
    <t>附表5</t>
  </si>
  <si>
    <t>修文县2021年县本级一般公共预算支出决算情况表</t>
  </si>
  <si>
    <t>附表6</t>
  </si>
  <si>
    <t>修文县2021年县本级一般公共预算支出决算情况表（政府经济科目）</t>
  </si>
  <si>
    <t>附表7</t>
  </si>
  <si>
    <t>修文县2021年县本级基本支出决算情况表</t>
  </si>
  <si>
    <t>附表8</t>
  </si>
  <si>
    <t>修文县2021年一般公共预算上级税收返还和转移支付决算表</t>
  </si>
  <si>
    <t>附表9</t>
  </si>
  <si>
    <t>修文县2021年政府性基金预算收入决算情况表</t>
  </si>
  <si>
    <t>附表10</t>
  </si>
  <si>
    <t>修文县2021年政府性基金支出决算情况表</t>
  </si>
  <si>
    <t>附表11</t>
  </si>
  <si>
    <t>修文县2021年政府性基金上级转移支付决算表</t>
  </si>
  <si>
    <t>附表12</t>
  </si>
  <si>
    <t>修文县2021年社会保险基金收入支出决算表</t>
  </si>
  <si>
    <t>附表13</t>
  </si>
  <si>
    <t>修文县2021年国有资本经营预算收入决算表</t>
  </si>
  <si>
    <t>附表14</t>
  </si>
  <si>
    <t>修文县2021年国有资本经营预算支出决算表</t>
  </si>
  <si>
    <t>附表15</t>
  </si>
  <si>
    <t>修文县2021年预备费使用情况表</t>
  </si>
  <si>
    <t>附表16</t>
  </si>
  <si>
    <t>修文县2021年政府一般债务、专项债务限额和余额情况决算表</t>
  </si>
  <si>
    <t>附件17</t>
  </si>
  <si>
    <t>修文县2021年乡镇结算表</t>
  </si>
  <si>
    <r>
      <rPr>
        <sz val="16"/>
        <color rgb="FF000000"/>
        <rFont val="黑体"/>
        <charset val="134"/>
      </rPr>
      <t>修文县</t>
    </r>
    <r>
      <rPr>
        <sz val="16"/>
        <color rgb="FF000000"/>
        <rFont val="Times New Roman"/>
        <charset val="134"/>
      </rPr>
      <t>2021</t>
    </r>
    <r>
      <rPr>
        <sz val="16"/>
        <color rgb="FF000000"/>
        <rFont val="黑体"/>
        <charset val="134"/>
      </rPr>
      <t>年全县一般公共预算收入决算情况表</t>
    </r>
  </si>
  <si>
    <t>单位：万元</t>
  </si>
  <si>
    <t>科目编码</t>
  </si>
  <si>
    <t>科目名称</t>
  </si>
  <si>
    <t>年初预算</t>
  </si>
  <si>
    <t>预算调整数</t>
  </si>
  <si>
    <t>决算数</t>
  </si>
  <si>
    <t>为预算调整数比例</t>
  </si>
  <si>
    <t>去年同期</t>
  </si>
  <si>
    <t>同比增减幅度</t>
  </si>
  <si>
    <t>一般公共预算收入合计</t>
  </si>
  <si>
    <t>税收收入</t>
  </si>
  <si>
    <t xml:space="preserve">    增值税</t>
  </si>
  <si>
    <t xml:space="preserve">    企业所得税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</si>
  <si>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</si>
  <si>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</si>
  <si>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</si>
  <si>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</si>
  <si>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</si>
  <si>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</si>
  <si>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</si>
  <si>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</si>
  <si>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</si>
  <si>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契税</t>
  </si>
  <si>
    <t xml:space="preserve">    烟叶税</t>
  </si>
  <si>
    <t xml:space="preserve">    环境保护税</t>
  </si>
  <si>
    <t>非税收入</t>
  </si>
  <si>
    <t xml:space="preserve">    专项收入</t>
  </si>
  <si>
    <t xml:space="preserve">    行政事业性收费收入</t>
  </si>
  <si>
    <t xml:space="preserve">    罚没收入</t>
  </si>
  <si>
    <t xml:space="preserve">    国有资源（资产）有偿使用收入</t>
  </si>
  <si>
    <t xml:space="preserve">    捐赠收入</t>
  </si>
  <si>
    <t xml:space="preserve">    政府住房基金收入</t>
  </si>
  <si>
    <t xml:space="preserve">    其他收入</t>
  </si>
  <si>
    <t>预算数</t>
  </si>
  <si>
    <t>备注</t>
  </si>
  <si>
    <t>调整后的预算数</t>
  </si>
  <si>
    <t>上专收入数</t>
  </si>
  <si>
    <t>全县支出决算数</t>
  </si>
  <si>
    <t>占调整后预算数比例</t>
  </si>
  <si>
    <t>同比增减幅度(总决算支出)</t>
  </si>
  <si>
    <t>上专支出决算数</t>
  </si>
  <si>
    <t>一般公共预算支出合计</t>
  </si>
  <si>
    <t>一般公共服务支出</t>
  </si>
  <si>
    <t xml:space="preserve">  人大事务</t>
  </si>
  <si>
    <t xml:space="preserve">  政协事务</t>
  </si>
  <si>
    <t xml:space="preserve">  政府办公厅(室)及相关机构事务</t>
  </si>
  <si>
    <t xml:space="preserve">  发展与改革事务</t>
  </si>
  <si>
    <t xml:space="preserve">  统计信息事务</t>
  </si>
  <si>
    <t xml:space="preserve">  财政事务</t>
  </si>
  <si>
    <t xml:space="preserve">  税收事务</t>
  </si>
  <si>
    <t xml:space="preserve">  审计事务</t>
  </si>
  <si>
    <t xml:space="preserve">  人力资源事务</t>
  </si>
  <si>
    <t xml:space="preserve">  纪检监察事务</t>
  </si>
  <si>
    <t xml:space="preserve">  商贸事务</t>
  </si>
  <si>
    <t xml:space="preserve">  民族事务</t>
  </si>
  <si>
    <t xml:space="preserve">  档案事务</t>
  </si>
  <si>
    <t xml:space="preserve">  民主党派及工商联事务</t>
  </si>
  <si>
    <t xml:space="preserve">  群众团体事务</t>
  </si>
  <si>
    <t xml:space="preserve">  党委办公厅(室)及相关机构事务</t>
  </si>
  <si>
    <t xml:space="preserve">  组织事务</t>
  </si>
  <si>
    <t xml:space="preserve">  宣传事务</t>
  </si>
  <si>
    <t xml:space="preserve">  统战事务</t>
  </si>
  <si>
    <t xml:space="preserve">  市场监督管理事务</t>
  </si>
  <si>
    <t xml:space="preserve">  其他一般公共服务支出(款)</t>
  </si>
  <si>
    <t>公共安全支出</t>
  </si>
  <si>
    <t xml:space="preserve">  武装警察部队(款)</t>
  </si>
  <si>
    <t xml:space="preserve">  公安</t>
  </si>
  <si>
    <t xml:space="preserve">  检察</t>
  </si>
  <si>
    <t xml:space="preserve">  法院</t>
  </si>
  <si>
    <t xml:space="preserve">  司法</t>
  </si>
  <si>
    <t xml:space="preserve">  国家保密</t>
  </si>
  <si>
    <t>教育支出</t>
  </si>
  <si>
    <t xml:space="preserve">  教育管理事务</t>
  </si>
  <si>
    <t xml:space="preserve">  普通教育</t>
  </si>
  <si>
    <t xml:space="preserve">  职业教育</t>
  </si>
  <si>
    <t xml:space="preserve">  成人教育</t>
  </si>
  <si>
    <t xml:space="preserve">  特殊教育</t>
  </si>
  <si>
    <t xml:space="preserve">  进修及培训</t>
  </si>
  <si>
    <t xml:space="preserve">  教育费附加安排的支出</t>
  </si>
  <si>
    <t xml:space="preserve">  其他教育支出(款)</t>
  </si>
  <si>
    <t>科学技术支出</t>
  </si>
  <si>
    <t xml:space="preserve">  科学技术管理事务</t>
  </si>
  <si>
    <t xml:space="preserve">  技术研究与开发</t>
  </si>
  <si>
    <t>科学技术普及</t>
  </si>
  <si>
    <t>文化旅游体育与传媒支出</t>
  </si>
  <si>
    <t xml:space="preserve">  文化和旅游</t>
  </si>
  <si>
    <t xml:space="preserve">  文物</t>
  </si>
  <si>
    <t xml:space="preserve">  体育</t>
  </si>
  <si>
    <t xml:space="preserve">  广播电视</t>
  </si>
  <si>
    <t xml:space="preserve">  其他文化旅游体育与传媒支出(款)</t>
  </si>
  <si>
    <t>社会保障和就业支出</t>
  </si>
  <si>
    <t xml:space="preserve">  人力资源和社会保障管理事务</t>
  </si>
  <si>
    <t xml:space="preserve">  民政管理事务</t>
  </si>
  <si>
    <t xml:space="preserve">  行政事业单位养老支出</t>
  </si>
  <si>
    <t xml:space="preserve">  企业改革补助</t>
  </si>
  <si>
    <t xml:space="preserve">  就业补助</t>
  </si>
  <si>
    <t>其中年初预算中包含3.21万是专项补助结转下年支出</t>
  </si>
  <si>
    <t xml:space="preserve">  抚恤</t>
  </si>
  <si>
    <t xml:space="preserve">  退役安置</t>
  </si>
  <si>
    <t xml:space="preserve">  社会福利</t>
  </si>
  <si>
    <t xml:space="preserve">  残疾人事业</t>
  </si>
  <si>
    <t xml:space="preserve">  最低生活保障</t>
  </si>
  <si>
    <t xml:space="preserve">  临时救助</t>
  </si>
  <si>
    <t xml:space="preserve">  特困人员救助供养</t>
  </si>
  <si>
    <t xml:space="preserve">  其他生活救助</t>
  </si>
  <si>
    <t xml:space="preserve">  财政对基本养老保险基金的补助</t>
  </si>
  <si>
    <t xml:space="preserve">  退役军人管理事务</t>
  </si>
  <si>
    <t xml:space="preserve">  其他社会保障和就业支出(款)</t>
  </si>
  <si>
    <t>卫生健康支出</t>
  </si>
  <si>
    <t xml:space="preserve">  卫生健康管理事务</t>
  </si>
  <si>
    <t xml:space="preserve">  公立医院</t>
  </si>
  <si>
    <t xml:space="preserve">  基层医疗卫生机构</t>
  </si>
  <si>
    <t xml:space="preserve">  公共卫生</t>
  </si>
  <si>
    <t xml:space="preserve">  中医药</t>
  </si>
  <si>
    <t xml:space="preserve">  计划生育事务</t>
  </si>
  <si>
    <t xml:space="preserve">  行政事业单位医疗</t>
  </si>
  <si>
    <t xml:space="preserve">  财政对基本医疗保险基金的补助</t>
  </si>
  <si>
    <t xml:space="preserve">  医疗救助</t>
  </si>
  <si>
    <t xml:space="preserve">  优抚对象医疗</t>
  </si>
  <si>
    <t xml:space="preserve">  医疗保障管理事务</t>
  </si>
  <si>
    <t xml:space="preserve">  其他卫生健康支出(款)</t>
  </si>
  <si>
    <t>节能环保支出</t>
  </si>
  <si>
    <t xml:space="preserve">  环境保护管理事务</t>
  </si>
  <si>
    <t xml:space="preserve">  污染防治</t>
  </si>
  <si>
    <t xml:space="preserve">  自然生态保护</t>
  </si>
  <si>
    <t xml:space="preserve">  天然林保护</t>
  </si>
  <si>
    <t xml:space="preserve">  退耕还林还草</t>
  </si>
  <si>
    <t>风沙荒漠治理</t>
  </si>
  <si>
    <t xml:space="preserve">  污染减排</t>
  </si>
  <si>
    <t>循环经济(款)</t>
  </si>
  <si>
    <t xml:space="preserve">  其他节能环保支出(款)</t>
  </si>
  <si>
    <t>城乡社区支出</t>
  </si>
  <si>
    <t xml:space="preserve">  城乡社区管理事务</t>
  </si>
  <si>
    <t xml:space="preserve">  城乡社区公共设施</t>
  </si>
  <si>
    <t xml:space="preserve">  城乡社区环境卫生(款)</t>
  </si>
  <si>
    <t xml:space="preserve">  其他城乡社区支出(款)</t>
  </si>
  <si>
    <t>农林水支出</t>
  </si>
  <si>
    <t xml:space="preserve">  农业农村</t>
  </si>
  <si>
    <t xml:space="preserve">  林业和草原</t>
  </si>
  <si>
    <t xml:space="preserve">  水利</t>
  </si>
  <si>
    <t xml:space="preserve">  扶贫</t>
  </si>
  <si>
    <t xml:space="preserve">  农村综合改革</t>
  </si>
  <si>
    <t xml:space="preserve">  普惠金融发展支出</t>
  </si>
  <si>
    <t xml:space="preserve">  其他农林水支出(款)</t>
  </si>
  <si>
    <t>交通运输支出</t>
  </si>
  <si>
    <t xml:space="preserve">  公路水路运输</t>
  </si>
  <si>
    <t>其中上专支出决算数中有3101.37万元是地方政府向国际组织借款转贷收入的支出</t>
  </si>
  <si>
    <t xml:space="preserve">  成品油价格改革对交通运输的补贴</t>
  </si>
  <si>
    <t xml:space="preserve">  车辆购置税支出</t>
  </si>
  <si>
    <t>资源勘探工业信息等支出</t>
  </si>
  <si>
    <t xml:space="preserve">  资源勘探开发</t>
  </si>
  <si>
    <t>其中年初预算、调整后的预算数各包含2785万元为专项补助结转下年支出</t>
  </si>
  <si>
    <t xml:space="preserve">  制造业</t>
  </si>
  <si>
    <t xml:space="preserve">  工业和信息产业监管</t>
  </si>
  <si>
    <t>其中年初预算、调整后的预算数各包含1110万元为专项补助结转下年支出</t>
  </si>
  <si>
    <t xml:space="preserve">  支持中小企业发展和管理支出</t>
  </si>
  <si>
    <t>商业服务业等支出</t>
  </si>
  <si>
    <t xml:space="preserve">  商业流通事务</t>
  </si>
  <si>
    <t>涉外发展服务支出</t>
  </si>
  <si>
    <t>其他商业服务业等支出</t>
  </si>
  <si>
    <t>金融支出</t>
  </si>
  <si>
    <t xml:space="preserve">  其他金融支出(款)</t>
  </si>
  <si>
    <t>自然资源海洋气象等支出</t>
  </si>
  <si>
    <t xml:space="preserve">  自然资源事务</t>
  </si>
  <si>
    <t xml:space="preserve">  气象事务</t>
  </si>
  <si>
    <t>住房保障支出</t>
  </si>
  <si>
    <t xml:space="preserve">  保障性安居工程支出</t>
  </si>
  <si>
    <t xml:space="preserve">  住房改革支出</t>
  </si>
  <si>
    <t>粮油物资储备支出</t>
  </si>
  <si>
    <t xml:space="preserve">  粮油事务</t>
  </si>
  <si>
    <t xml:space="preserve">  物资事务</t>
  </si>
  <si>
    <t xml:space="preserve">  粮油储备</t>
  </si>
  <si>
    <t xml:space="preserve">  重要商品储备</t>
  </si>
  <si>
    <t>国有资本经营预算支出</t>
  </si>
  <si>
    <t>其他国有资本经营预算支出</t>
  </si>
  <si>
    <t>灾害防治及应急管理支出</t>
  </si>
  <si>
    <t xml:space="preserve">  应急管理事务</t>
  </si>
  <si>
    <t xml:space="preserve">  消防事务</t>
  </si>
  <si>
    <t xml:space="preserve">  煤矿安全</t>
  </si>
  <si>
    <t xml:space="preserve">  自然灾害防治</t>
  </si>
  <si>
    <t xml:space="preserve">  自然灾害救灾及恢复重建支出</t>
  </si>
  <si>
    <t>其他灾害防治及应急管理支出</t>
  </si>
  <si>
    <t>预备费</t>
  </si>
  <si>
    <t>其他支出(类)</t>
  </si>
  <si>
    <t xml:space="preserve">  其他支出(款)</t>
  </si>
  <si>
    <t>债务付息支出</t>
  </si>
  <si>
    <t xml:space="preserve">  地方政府一般债务付息支出</t>
  </si>
  <si>
    <t>债务发行费用支出</t>
  </si>
  <si>
    <t>地方政府一般债务发行费用支出</t>
  </si>
  <si>
    <t>一般公共预算支出</t>
  </si>
  <si>
    <t>其中：基本支出</t>
  </si>
  <si>
    <t>财政拨款列支数</t>
  </si>
  <si>
    <t>财政权责发生制列支数</t>
  </si>
  <si>
    <t>机关工资福利支出</t>
  </si>
  <si>
    <t xml:space="preserve">  工资奖金津补贴</t>
  </si>
  <si>
    <t xml:space="preserve">  社会保障缴费</t>
  </si>
  <si>
    <t xml:space="preserve">  住房公积金</t>
  </si>
  <si>
    <t xml:space="preserve">  其他工资福利支出</t>
  </si>
  <si>
    <t>机关商品和服务支出</t>
  </si>
  <si>
    <t xml:space="preserve">  办公经费</t>
  </si>
  <si>
    <t xml:space="preserve">  会议费</t>
  </si>
  <si>
    <t xml:space="preserve">  培训费</t>
  </si>
  <si>
    <t xml:space="preserve">  专用材料购置费</t>
  </si>
  <si>
    <t xml:space="preserve">  委托业务费</t>
  </si>
  <si>
    <t xml:space="preserve">  公务接待费</t>
  </si>
  <si>
    <t xml:space="preserve">  公务用车运行维护费</t>
  </si>
  <si>
    <t xml:space="preserve">  维修(护)费</t>
  </si>
  <si>
    <t xml:space="preserve">  其他商品和服务支出</t>
  </si>
  <si>
    <t>机关资本性支出(一)</t>
  </si>
  <si>
    <t xml:space="preserve">  基础设施建设</t>
  </si>
  <si>
    <t xml:space="preserve">  公务用车购置</t>
  </si>
  <si>
    <t xml:space="preserve">  设备购置</t>
  </si>
  <si>
    <t xml:space="preserve">  其他资本性支出</t>
  </si>
  <si>
    <t>机关资本性支出(二)</t>
  </si>
  <si>
    <t>对事业单位经常性补助</t>
  </si>
  <si>
    <t xml:space="preserve">  工资福利支出</t>
  </si>
  <si>
    <t xml:space="preserve">  商品和服务支出</t>
  </si>
  <si>
    <t>对事业单位资本性补助</t>
  </si>
  <si>
    <t xml:space="preserve">  资本性支出(一)</t>
  </si>
  <si>
    <t>对企业补助</t>
  </si>
  <si>
    <t xml:space="preserve">  费用补贴</t>
  </si>
  <si>
    <t xml:space="preserve">  利息补贴</t>
  </si>
  <si>
    <t xml:space="preserve">  其他对企业补助</t>
  </si>
  <si>
    <t>对个人和家庭的补助</t>
  </si>
  <si>
    <t xml:space="preserve">  社会福利和救助</t>
  </si>
  <si>
    <t xml:space="preserve">  助学金</t>
  </si>
  <si>
    <t xml:space="preserve">  个人农业生产补贴</t>
  </si>
  <si>
    <t xml:space="preserve">  离退休费</t>
  </si>
  <si>
    <t xml:space="preserve">  其他对个人和家庭补助</t>
  </si>
  <si>
    <t>对社会保障基金补助</t>
  </si>
  <si>
    <t xml:space="preserve">  对社会保险基金补助</t>
  </si>
  <si>
    <t xml:space="preserve">  补充全国社会保障基金</t>
  </si>
  <si>
    <t xml:space="preserve">  对机关事业单位职业年金的补助</t>
  </si>
  <si>
    <t>债务利息及费用支出</t>
  </si>
  <si>
    <t xml:space="preserve">  国内债务付息</t>
  </si>
  <si>
    <t xml:space="preserve">  国外债务付息</t>
  </si>
  <si>
    <t xml:space="preserve">  国内债务发行费用</t>
  </si>
  <si>
    <t xml:space="preserve">  国外债务发行费用</t>
  </si>
  <si>
    <t>其他支出</t>
  </si>
  <si>
    <t xml:space="preserve">  赠与</t>
  </si>
  <si>
    <t xml:space="preserve">  国家赔偿费用支出</t>
  </si>
  <si>
    <t xml:space="preserve">  对民间非营利组织和群众性自治组织补贴</t>
  </si>
  <si>
    <t xml:space="preserve">  其他支出</t>
  </si>
  <si>
    <t>项目</t>
  </si>
  <si>
    <t>本级支出决算数</t>
  </si>
  <si>
    <t>同比增减幅度(本级支出)</t>
  </si>
  <si>
    <t>合计</t>
  </si>
  <si>
    <t>因核算方式的变化，从权责发生制改为收付实现制，导致今年本级支出小于去年同期支出数，以下同理</t>
  </si>
  <si>
    <t xml:space="preserve">  一般公共服务支出</t>
  </si>
  <si>
    <t xml:space="preserve">    人大事务</t>
  </si>
  <si>
    <t xml:space="preserve">      行政运行</t>
  </si>
  <si>
    <t xml:space="preserve">     一般行政管理事务</t>
  </si>
  <si>
    <t xml:space="preserve">      人大会议</t>
  </si>
  <si>
    <t xml:space="preserve">      事业运行</t>
  </si>
  <si>
    <t xml:space="preserve">      其他人大事务支出</t>
  </si>
  <si>
    <t xml:space="preserve">    政协事务</t>
  </si>
  <si>
    <t xml:space="preserve">      一般行政管理事务</t>
  </si>
  <si>
    <t xml:space="preserve">      政协会议</t>
  </si>
  <si>
    <t xml:space="preserve">      其他政协事务支出</t>
  </si>
  <si>
    <t xml:space="preserve">    政府办公厅(室)及相关机构事务</t>
  </si>
  <si>
    <t xml:space="preserve">      机关服务</t>
  </si>
  <si>
    <t xml:space="preserve">      政务公开审批</t>
  </si>
  <si>
    <t xml:space="preserve">      信访事务</t>
  </si>
  <si>
    <t xml:space="preserve">    发展与改革事务</t>
  </si>
  <si>
    <t xml:space="preserve">      战略规划与实施</t>
  </si>
  <si>
    <t xml:space="preserve">      物价管理</t>
  </si>
  <si>
    <t xml:space="preserve">      其他发展与改革事务支出</t>
  </si>
  <si>
    <t xml:space="preserve">    统计信息事务</t>
  </si>
  <si>
    <t xml:space="preserve">      专项统计业务</t>
  </si>
  <si>
    <t xml:space="preserve">      专项普查活动</t>
  </si>
  <si>
    <t xml:space="preserve">    财政事务</t>
  </si>
  <si>
    <t xml:space="preserve">      财政委托业务支出</t>
  </si>
  <si>
    <t>事业运行</t>
  </si>
  <si>
    <t xml:space="preserve">      其他财政事务支出</t>
  </si>
  <si>
    <t xml:space="preserve">    税收事务</t>
  </si>
  <si>
    <t xml:space="preserve">    审计事务</t>
  </si>
  <si>
    <t xml:space="preserve">    人力资源事务</t>
  </si>
  <si>
    <t xml:space="preserve">      其他人力资源事务支出</t>
  </si>
  <si>
    <t xml:space="preserve">    纪检监察事务</t>
  </si>
  <si>
    <t xml:space="preserve">    商贸事务</t>
  </si>
  <si>
    <t xml:space="preserve"> 国内贸易管理</t>
  </si>
  <si>
    <t xml:space="preserve">      招商引资</t>
  </si>
  <si>
    <t xml:space="preserve">      其他商贸事务支出</t>
  </si>
  <si>
    <t xml:space="preserve">    民族事务</t>
  </si>
  <si>
    <t xml:space="preserve">      民族工作专项</t>
  </si>
  <si>
    <t xml:space="preserve">    档案事务</t>
  </si>
  <si>
    <t xml:space="preserve">      档案馆</t>
  </si>
  <si>
    <t xml:space="preserve">    民主党派及工商联事务</t>
  </si>
  <si>
    <t xml:space="preserve">    群众团体事务</t>
  </si>
  <si>
    <t xml:space="preserve">      其他群众团体事务支出</t>
  </si>
  <si>
    <t xml:space="preserve">    党委办公厅(室)及相关机构事务</t>
  </si>
  <si>
    <t xml:space="preserve">    组织事务</t>
  </si>
  <si>
    <t xml:space="preserve">    宣传事务</t>
  </si>
  <si>
    <t xml:space="preserve">    统战事务</t>
  </si>
  <si>
    <t xml:space="preserve">      宗教事务</t>
  </si>
  <si>
    <t xml:space="preserve">      质量安全监管</t>
  </si>
  <si>
    <t xml:space="preserve">      食品安全监管</t>
  </si>
  <si>
    <t xml:space="preserve">      其他市场监督管理事务</t>
  </si>
  <si>
    <t xml:space="preserve">    其他一般公共服务支出(款)</t>
  </si>
  <si>
    <t xml:space="preserve">      其他一般公共服务支出(项)</t>
  </si>
  <si>
    <t xml:space="preserve">  公共安全支出</t>
  </si>
  <si>
    <t xml:space="preserve">    武装警察</t>
  </si>
  <si>
    <t xml:space="preserve">      其他武装警察支出</t>
  </si>
  <si>
    <t xml:space="preserve">    公安</t>
  </si>
  <si>
    <t xml:space="preserve">      信息化建设</t>
  </si>
  <si>
    <t xml:space="preserve">      执法办案</t>
  </si>
  <si>
    <t xml:space="preserve">      特别业务</t>
  </si>
  <si>
    <t xml:space="preserve"> 事业运行</t>
  </si>
  <si>
    <t xml:space="preserve">      其他公安支出</t>
  </si>
  <si>
    <t xml:space="preserve">    检察</t>
  </si>
  <si>
    <t xml:space="preserve">    法院</t>
  </si>
  <si>
    <t xml:space="preserve">    司法</t>
  </si>
  <si>
    <t xml:space="preserve">      基层司法业务</t>
  </si>
  <si>
    <t xml:space="preserve">      法律援助</t>
  </si>
  <si>
    <t xml:space="preserve">      法制建设</t>
  </si>
  <si>
    <t xml:space="preserve">      其他司法支出</t>
  </si>
  <si>
    <t xml:space="preserve">     国家保密</t>
  </si>
  <si>
    <t xml:space="preserve">      保密管理</t>
  </si>
  <si>
    <t xml:space="preserve">  教育支出</t>
  </si>
  <si>
    <t xml:space="preserve">    教育管理事务</t>
  </si>
  <si>
    <t xml:space="preserve">      其他教育管理事务支出</t>
  </si>
  <si>
    <t xml:space="preserve">    普通教育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</si>
  <si>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</si>
  <si>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</si>
  <si>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</si>
  <si>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</si>
  <si>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>高等教育</t>
  </si>
  <si>
    <t xml:space="preserve">      其他普通教育支出</t>
  </si>
  <si>
    <t xml:space="preserve">    职业教育</t>
  </si>
  <si>
    <t xml:space="preserve">      初等职业教育</t>
  </si>
  <si>
    <t xml:space="preserve">      中专教育</t>
  </si>
  <si>
    <t xml:space="preserve">      其他职业教育支出</t>
  </si>
  <si>
    <t xml:space="preserve">    成人教育</t>
  </si>
  <si>
    <t xml:space="preserve">      其他成人教育支出</t>
  </si>
  <si>
    <t xml:space="preserve">    特殊教育</t>
  </si>
  <si>
    <t xml:space="preserve">      特殊学校教育</t>
  </si>
  <si>
    <t xml:space="preserve">    进修及培训</t>
  </si>
  <si>
    <t xml:space="preserve">      教师进修
</t>
  </si>
  <si>
    <t xml:space="preserve">      干部教育</t>
  </si>
  <si>
    <t xml:space="preserve">    教育费附加安排的支出</t>
  </si>
  <si>
    <t xml:space="preserve">      其他教育费附加安排的支出</t>
  </si>
  <si>
    <t xml:space="preserve">    其他教育支出(款)</t>
  </si>
  <si>
    <t xml:space="preserve">      其他教育支出(项)</t>
  </si>
  <si>
    <t xml:space="preserve">  科学技术支出</t>
  </si>
  <si>
    <t xml:space="preserve">    科学技术管理事务</t>
  </si>
  <si>
    <t>其他科学技术管理事务支出</t>
  </si>
  <si>
    <t xml:space="preserve">    技术研究与开发</t>
  </si>
  <si>
    <t xml:space="preserve"> 科技成果转化与扩散</t>
  </si>
  <si>
    <t xml:space="preserve">      其他技术研究与开发支出</t>
  </si>
  <si>
    <t xml:space="preserve">    科学技术普及</t>
  </si>
  <si>
    <t xml:space="preserve">      科普活动</t>
  </si>
  <si>
    <t xml:space="preserve">  文化体育与传媒支出</t>
  </si>
  <si>
    <t xml:space="preserve">    文化</t>
  </si>
  <si>
    <t xml:space="preserve">      文化创作与保护</t>
  </si>
  <si>
    <t xml:space="preserve">      旅游宣传</t>
  </si>
  <si>
    <t xml:space="preserve">      其他文化支出</t>
  </si>
  <si>
    <t xml:space="preserve">    文物</t>
  </si>
  <si>
    <t xml:space="preserve">      文物保护</t>
  </si>
  <si>
    <t xml:space="preserve">      博物馆</t>
  </si>
  <si>
    <t xml:space="preserve">    体育</t>
  </si>
  <si>
    <t xml:space="preserve">      体育场馆</t>
  </si>
  <si>
    <t xml:space="preserve">      群众体育</t>
  </si>
  <si>
    <t>其他体育支出</t>
  </si>
  <si>
    <t xml:space="preserve">    广播电视</t>
  </si>
  <si>
    <t xml:space="preserve">      其他广播电视支出</t>
  </si>
  <si>
    <t xml:space="preserve">    其他文化体育与传媒支出(款)</t>
  </si>
  <si>
    <t xml:space="preserve">    宣传文化发展专项支出</t>
  </si>
  <si>
    <t xml:space="preserve">      其他文化体育与传媒支出(项)</t>
  </si>
  <si>
    <t xml:space="preserve">  社会保障和就业支出</t>
  </si>
  <si>
    <t>人力资源和社会保障管理事务</t>
  </si>
  <si>
    <t xml:space="preserve"> 就业管理事务</t>
  </si>
  <si>
    <t>其他人力资源和社会保障管理事务支出</t>
  </si>
  <si>
    <t>军队转业干部安置</t>
  </si>
  <si>
    <t xml:space="preserve">    民政管理事务</t>
  </si>
  <si>
    <t xml:space="preserve">      基层政权和社区建设</t>
  </si>
  <si>
    <t xml:space="preserve">      其他民政管理事务支出</t>
  </si>
  <si>
    <t xml:space="preserve">    行政事业单位离退休</t>
  </si>
  <si>
    <t xml:space="preserve">    事业单位离退休</t>
  </si>
  <si>
    <t xml:space="preserve">      机关事业单位基本养老保险缴费支出</t>
  </si>
  <si>
    <t xml:space="preserve">      机关事业单位职业年金缴费支出</t>
  </si>
  <si>
    <t xml:space="preserve">      对机关事业单位基本养老保险基金的补助</t>
  </si>
  <si>
    <t>对机关事业单位职业年金的补助</t>
  </si>
  <si>
    <t xml:space="preserve">    企业改革补助</t>
  </si>
  <si>
    <t xml:space="preserve">      企业关闭破产补助</t>
  </si>
  <si>
    <t xml:space="preserve">    就业补助</t>
  </si>
  <si>
    <t xml:space="preserve">      社会保险补贴</t>
  </si>
  <si>
    <t xml:space="preserve">      公益性岗位补贴</t>
  </si>
  <si>
    <t xml:space="preserve">      其他就业补助支出</t>
  </si>
  <si>
    <t xml:space="preserve">    抚恤</t>
  </si>
  <si>
    <t xml:space="preserve">      死亡抚恤</t>
  </si>
  <si>
    <t xml:space="preserve">      伤残抚恤</t>
  </si>
  <si>
    <t xml:space="preserve">      在乡复员、退伍军人生活补助</t>
  </si>
  <si>
    <t xml:space="preserve">      优抚事业单位支出</t>
  </si>
  <si>
    <t xml:space="preserve">      义务兵优待</t>
  </si>
  <si>
    <t xml:space="preserve">      农村籍退役士兵老年生活补助</t>
  </si>
  <si>
    <t xml:space="preserve">      其他优抚支出</t>
  </si>
  <si>
    <t xml:space="preserve">    退役安置</t>
  </si>
  <si>
    <t xml:space="preserve">      退役士兵安置</t>
  </si>
  <si>
    <t xml:space="preserve">      军队移交政府的离退休人员安置</t>
  </si>
  <si>
    <t xml:space="preserve">       其他退役安置支出</t>
  </si>
  <si>
    <t xml:space="preserve">    社会福利</t>
  </si>
  <si>
    <t xml:space="preserve">      儿童福利</t>
  </si>
  <si>
    <t xml:space="preserve">      老年福利</t>
  </si>
  <si>
    <t xml:space="preserve">      殡葬</t>
  </si>
  <si>
    <t xml:space="preserve">      养老服务</t>
  </si>
  <si>
    <t xml:space="preserve">      其他社会福利支出</t>
  </si>
  <si>
    <t xml:space="preserve">    残疾人事业</t>
  </si>
  <si>
    <t xml:space="preserve">      残疾人康复</t>
  </si>
  <si>
    <t xml:space="preserve">      残疾人就业和扶贫</t>
  </si>
  <si>
    <t xml:space="preserve">      残疾人生活和护理补贴</t>
  </si>
  <si>
    <t xml:space="preserve">      其他残疾人事业支出</t>
  </si>
  <si>
    <t xml:space="preserve">    最低生活保障</t>
  </si>
  <si>
    <t xml:space="preserve">      城市最低生活保障金支出</t>
  </si>
  <si>
    <t xml:space="preserve">      农村最低生活保障金支出</t>
  </si>
  <si>
    <t xml:space="preserve">    临时救助</t>
  </si>
  <si>
    <t xml:space="preserve">      临时救助支出</t>
  </si>
  <si>
    <t xml:space="preserve">     流浪乞讨人员救助支出</t>
  </si>
  <si>
    <t xml:space="preserve">    特困人员救助供养</t>
  </si>
  <si>
    <t xml:space="preserve">      城市特困人员救助供养支出</t>
  </si>
  <si>
    <t xml:space="preserve">      农村特困人员救助供养支出</t>
  </si>
  <si>
    <t xml:space="preserve">    其他生活救助</t>
  </si>
  <si>
    <t xml:space="preserve">      其他城市生活救助</t>
  </si>
  <si>
    <t xml:space="preserve">      其他农村生活救助</t>
  </si>
  <si>
    <t xml:space="preserve">    财政对基本养老保险基金的补助</t>
  </si>
  <si>
    <t xml:space="preserve">      财政对城乡居民基本养老保险基金的补助</t>
  </si>
  <si>
    <t xml:space="preserve">      拥军优属</t>
  </si>
  <si>
    <t xml:space="preserve"> 其他退役军人事务管理支出</t>
  </si>
  <si>
    <t xml:space="preserve">    其他社会保障和就业支出(款)</t>
  </si>
  <si>
    <t xml:space="preserve">      其他社会保障和就业支出(项)</t>
  </si>
  <si>
    <t xml:space="preserve"> 其他社会保障和就业支出</t>
  </si>
  <si>
    <t xml:space="preserve">  医疗卫生与计划生育支出</t>
  </si>
  <si>
    <t xml:space="preserve">    医疗卫生与计划生育管理事务</t>
  </si>
  <si>
    <t xml:space="preserve">      其他医疗卫生与计划生育管理事务支出</t>
  </si>
  <si>
    <t xml:space="preserve">    公立医院</t>
  </si>
  <si>
    <t xml:space="preserve">      综合医院</t>
  </si>
  <si>
    <t xml:space="preserve">      其他公立医院支出</t>
  </si>
  <si>
    <t xml:space="preserve">    基层医疗卫生机构</t>
  </si>
  <si>
    <t xml:space="preserve">      乡镇卫生院</t>
  </si>
  <si>
    <t xml:space="preserve">      其他基层医疗卫生机构支出</t>
  </si>
  <si>
    <t xml:space="preserve">    公共卫生</t>
  </si>
  <si>
    <t xml:space="preserve">      疾病预防控制机构</t>
  </si>
  <si>
    <t xml:space="preserve">      卫生监督机构</t>
  </si>
  <si>
    <t xml:space="preserve">      妇幼保健机构</t>
  </si>
  <si>
    <t xml:space="preserve">      基本公共卫生服务</t>
  </si>
  <si>
    <t xml:space="preserve">      重大公共卫生专项</t>
  </si>
  <si>
    <t xml:space="preserve">      突发公共卫生事件应急处理</t>
  </si>
  <si>
    <t xml:space="preserve">    中医药</t>
  </si>
  <si>
    <t xml:space="preserve">      中医(民族医)药专项</t>
  </si>
  <si>
    <t xml:space="preserve">    计划生育事务</t>
  </si>
  <si>
    <t xml:space="preserve">      计划生育服务</t>
  </si>
  <si>
    <t xml:space="preserve">    行政事业单位医疗</t>
  </si>
  <si>
    <t xml:space="preserve">      行政单位医疗</t>
  </si>
  <si>
    <t xml:space="preserve">      事业单位医疗</t>
  </si>
  <si>
    <t xml:space="preserve">    财政对基本医疗保险基金的补助</t>
  </si>
  <si>
    <t xml:space="preserve">      财政对城乡居民基本医疗保险基金的补助</t>
  </si>
  <si>
    <t xml:space="preserve">    医疗救助</t>
  </si>
  <si>
    <t xml:space="preserve">      城乡医疗救助</t>
  </si>
  <si>
    <t xml:space="preserve">    优抚对象医疗</t>
  </si>
  <si>
    <t xml:space="preserve">      优抚对象医疗补助</t>
  </si>
  <si>
    <t xml:space="preserve"> 医疗保障管理事务</t>
  </si>
  <si>
    <t xml:space="preserve">     行政运行</t>
  </si>
  <si>
    <t xml:space="preserve">      医疗保障经办事务</t>
  </si>
  <si>
    <t xml:space="preserve">      其他医疗保障管理事务支出</t>
  </si>
  <si>
    <t xml:space="preserve">    其他医疗卫生与计划生育支出</t>
  </si>
  <si>
    <t>其他卫生健康支出</t>
  </si>
  <si>
    <t xml:space="preserve">  节能环保支出</t>
  </si>
  <si>
    <t xml:space="preserve">    环境保护管理事务</t>
  </si>
  <si>
    <t xml:space="preserve">      环境保护宣传</t>
  </si>
  <si>
    <t xml:space="preserve">      环境保护法规、规划及标准</t>
  </si>
  <si>
    <t xml:space="preserve">      其他环境保护管理事务支出</t>
  </si>
  <si>
    <t xml:space="preserve">    污染防治</t>
  </si>
  <si>
    <t xml:space="preserve">      水体</t>
  </si>
  <si>
    <t xml:space="preserve">      其他污染防治支出</t>
  </si>
  <si>
    <t xml:space="preserve">    自然生态保护</t>
  </si>
  <si>
    <t xml:space="preserve">      农村环境保护</t>
  </si>
  <si>
    <t xml:space="preserve">    天然林保护</t>
  </si>
  <si>
    <t xml:space="preserve">      森林管护</t>
  </si>
  <si>
    <t xml:space="preserve">      社会保险补助</t>
  </si>
  <si>
    <t xml:space="preserve">      政策性社会性支出补助</t>
  </si>
  <si>
    <t xml:space="preserve">    退耕还林</t>
  </si>
  <si>
    <t xml:space="preserve">      退耕现金</t>
  </si>
  <si>
    <t xml:space="preserve">      退耕还林粮食费用补贴</t>
  </si>
  <si>
    <t xml:space="preserve">      其他退耕还林支出</t>
  </si>
  <si>
    <t xml:space="preserve">  风沙荒漠治理</t>
  </si>
  <si>
    <t>其他风沙荒漠治理支出</t>
  </si>
  <si>
    <t xml:space="preserve">    污染减排</t>
  </si>
  <si>
    <t xml:space="preserve">       环境监测与信息</t>
  </si>
  <si>
    <t>其他污染减排支出</t>
  </si>
  <si>
    <t>循环经济</t>
  </si>
  <si>
    <t xml:space="preserve"> 循环经济</t>
  </si>
  <si>
    <t xml:space="preserve">    其他节能环保支出(款)</t>
  </si>
  <si>
    <t xml:space="preserve">      其他节能环保支出(项)</t>
  </si>
  <si>
    <t>其他节能环保支出(项)</t>
  </si>
  <si>
    <t xml:space="preserve">  城乡社区支出</t>
  </si>
  <si>
    <t xml:space="preserve">    城乡社区管理事务</t>
  </si>
  <si>
    <t xml:space="preserve">      城管执法</t>
  </si>
  <si>
    <t xml:space="preserve">      其他城乡社区管理事务支出</t>
  </si>
  <si>
    <t xml:space="preserve">    城乡社区公共设施</t>
  </si>
  <si>
    <t xml:space="preserve">      小城镇基础设施建设</t>
  </si>
  <si>
    <t xml:space="preserve">      其他城乡社区公共设施支出</t>
  </si>
  <si>
    <t xml:space="preserve">    城乡社区环境卫生(款)</t>
  </si>
  <si>
    <t xml:space="preserve">      城乡社区环境卫生(项)</t>
  </si>
  <si>
    <t>其他城乡社区环境卫生</t>
  </si>
  <si>
    <t xml:space="preserve">  农林水支出</t>
  </si>
  <si>
    <t xml:space="preserve">    农业</t>
  </si>
  <si>
    <t xml:space="preserve">      科技转化与推广服务</t>
  </si>
  <si>
    <t xml:space="preserve">      病虫害控制</t>
  </si>
  <si>
    <t xml:space="preserve">      农产品质量安全</t>
  </si>
  <si>
    <t xml:space="preserve">      农业行业业务管理</t>
  </si>
  <si>
    <t xml:space="preserve">      防灾救灾</t>
  </si>
  <si>
    <t xml:space="preserve">      农业生产支持补贴</t>
  </si>
  <si>
    <t xml:space="preserve">      农业组织化与产业化经营</t>
  </si>
  <si>
    <t xml:space="preserve">      农产品加工与促销</t>
  </si>
  <si>
    <t xml:space="preserve">      农村公益事业</t>
  </si>
  <si>
    <t xml:space="preserve">      农业资源保护修复与利用</t>
  </si>
  <si>
    <t xml:space="preserve">      农村道路建设</t>
  </si>
  <si>
    <t xml:space="preserve">      成品油价格改革对渔业的补贴</t>
  </si>
  <si>
    <t xml:space="preserve">      对高校毕业生到基层任职补助</t>
  </si>
  <si>
    <t xml:space="preserve">      农田建设</t>
  </si>
  <si>
    <t xml:space="preserve">      其他农业支出</t>
  </si>
  <si>
    <t xml:space="preserve">    林业</t>
  </si>
  <si>
    <t xml:space="preserve">      林业事业机构</t>
  </si>
  <si>
    <t xml:space="preserve">      森林培育</t>
  </si>
  <si>
    <t xml:space="preserve">      林业技术推广</t>
  </si>
  <si>
    <t xml:space="preserve">      森林资源管理</t>
  </si>
  <si>
    <t xml:space="preserve">      森林生态效益补偿</t>
  </si>
  <si>
    <t xml:space="preserve">      动植物保护</t>
  </si>
  <si>
    <t xml:space="preserve">      林业防灾减灾</t>
  </si>
  <si>
    <t xml:space="preserve">      其他林业支出</t>
  </si>
  <si>
    <t xml:space="preserve">    水利</t>
  </si>
  <si>
    <t xml:space="preserve"> 一般行政管理事务</t>
  </si>
  <si>
    <t xml:space="preserve">      水利行业业务管理</t>
  </si>
  <si>
    <t xml:space="preserve">      水利工程建设</t>
  </si>
  <si>
    <t xml:space="preserve">      水利工程运行与维护</t>
  </si>
  <si>
    <t xml:space="preserve">      水资源节约管理与保护</t>
  </si>
  <si>
    <t xml:space="preserve">      防汛</t>
  </si>
  <si>
    <t xml:space="preserve">      抗旱</t>
  </si>
  <si>
    <t xml:space="preserve">      农田水利</t>
  </si>
  <si>
    <t xml:space="preserve">      江河湖库水库综合整治</t>
  </si>
  <si>
    <t xml:space="preserve"> 信息管理</t>
  </si>
  <si>
    <t xml:space="preserve">      其他水利支出</t>
  </si>
  <si>
    <t xml:space="preserve">    扶贫</t>
  </si>
  <si>
    <t xml:space="preserve">      农村基础设施建设</t>
  </si>
  <si>
    <t xml:space="preserve">      生产发展</t>
  </si>
  <si>
    <t xml:space="preserve">      其他扶贫支出</t>
  </si>
  <si>
    <t xml:space="preserve">    农村综合改革</t>
  </si>
  <si>
    <t xml:space="preserve">      对村级一事一议的补助</t>
  </si>
  <si>
    <t xml:space="preserve">      对村民委员会和村党支部的补助</t>
  </si>
  <si>
    <t xml:space="preserve">      对村集体经济组织的补助</t>
  </si>
  <si>
    <t xml:space="preserve">      其他农村综合改革支出</t>
  </si>
  <si>
    <t xml:space="preserve">    普惠金融发展支出</t>
  </si>
  <si>
    <t xml:space="preserve">      支持农村金融机构</t>
  </si>
  <si>
    <t xml:space="preserve">      农业保险保费补贴</t>
  </si>
  <si>
    <t xml:space="preserve">      创业担保贷款贴息</t>
  </si>
  <si>
    <t xml:space="preserve">    其他农林水事务支出(款)</t>
  </si>
  <si>
    <t xml:space="preserve">      其他农林水事务支出(项)</t>
  </si>
  <si>
    <t xml:space="preserve">  交通运输支出</t>
  </si>
  <si>
    <t xml:space="preserve">    公路水路运输</t>
  </si>
  <si>
    <t xml:space="preserve">      公路建设</t>
  </si>
  <si>
    <t xml:space="preserve">      公路养护</t>
  </si>
  <si>
    <t xml:space="preserve">      公路运输管理</t>
  </si>
  <si>
    <t xml:space="preserve">      其他公路水路运输支出</t>
  </si>
  <si>
    <t xml:space="preserve">    成品油价格改革对交通运输的补贴</t>
  </si>
  <si>
    <t xml:space="preserve">      对农村道路客运的补贴</t>
  </si>
  <si>
    <t xml:space="preserve">      对出租车的补贴</t>
  </si>
  <si>
    <t xml:space="preserve">      成品油价格改革补贴其他支出</t>
  </si>
  <si>
    <t xml:space="preserve">    车辆购置税支出</t>
  </si>
  <si>
    <t xml:space="preserve">      车辆购置税用于公路等基础设施建设支出</t>
  </si>
  <si>
    <t xml:space="preserve">      车辆购置税用于农村公路建设支出</t>
  </si>
  <si>
    <t xml:space="preserve">  资源勘探信息等支出</t>
  </si>
  <si>
    <t xml:space="preserve">    资源勘探开发</t>
  </si>
  <si>
    <t xml:space="preserve"> 行政运行</t>
  </si>
  <si>
    <t xml:space="preserve">      煤炭勘探开采和洗选</t>
  </si>
  <si>
    <t xml:space="preserve">    制造业</t>
  </si>
  <si>
    <t xml:space="preserve">      医药制造业</t>
  </si>
  <si>
    <t xml:space="preserve">    工业和信息产业监管</t>
  </si>
  <si>
    <t xml:space="preserve">    支持中小企业发展和管理支出</t>
  </si>
  <si>
    <t xml:space="preserve"> 无线电及信息通信监管</t>
  </si>
  <si>
    <t xml:space="preserve">      工业和信息产业支持</t>
  </si>
  <si>
    <t xml:space="preserve"> 产业发展</t>
  </si>
  <si>
    <t xml:space="preserve">      中小企业发展专项</t>
  </si>
  <si>
    <t xml:space="preserve">  商业服务业等支出</t>
  </si>
  <si>
    <t xml:space="preserve">    商业流通事务</t>
  </si>
  <si>
    <t>市场监测及信息管理</t>
  </si>
  <si>
    <t xml:space="preserve">      民贸民品贷款贴息</t>
  </si>
  <si>
    <t xml:space="preserve">      其他商业流通事务支出</t>
  </si>
  <si>
    <t xml:space="preserve">    涉外发展服务支出</t>
  </si>
  <si>
    <t xml:space="preserve">      其他涉外发展服务支出</t>
  </si>
  <si>
    <t xml:space="preserve">    其他商业服务业等支出(款)</t>
  </si>
  <si>
    <t xml:space="preserve">      其他商业服务业等支出(项)</t>
  </si>
  <si>
    <t xml:space="preserve">  金融支出  </t>
  </si>
  <si>
    <t xml:space="preserve">    其他金融支出</t>
  </si>
  <si>
    <t>重点企业贷款贴息</t>
  </si>
  <si>
    <t xml:space="preserve">  国土海洋气象等支出</t>
  </si>
  <si>
    <t xml:space="preserve">    国土资源事务</t>
  </si>
  <si>
    <t xml:space="preserve">      国土资源规划及管理</t>
  </si>
  <si>
    <t xml:space="preserve">      土地资源利用与保护</t>
  </si>
  <si>
    <t xml:space="preserve">      国土资源调查</t>
  </si>
  <si>
    <t xml:space="preserve">    气象事务</t>
  </si>
  <si>
    <t xml:space="preserve">      气象事业机构</t>
  </si>
  <si>
    <t xml:space="preserve">      气象服务</t>
  </si>
  <si>
    <t xml:space="preserve">  住房保障支出</t>
  </si>
  <si>
    <t xml:space="preserve">    保障性安居工程支出</t>
  </si>
  <si>
    <t xml:space="preserve">      棚户区改造</t>
  </si>
  <si>
    <t xml:space="preserve">      农村危房改造</t>
  </si>
  <si>
    <t xml:space="preserve">      公共租赁住房</t>
  </si>
  <si>
    <t xml:space="preserve">      保障性住房租金补贴</t>
  </si>
  <si>
    <t xml:space="preserve">      老旧小区改造</t>
  </si>
  <si>
    <t xml:space="preserve">      其他保障性安居工程支出</t>
  </si>
  <si>
    <t xml:space="preserve">    住房改革支出</t>
  </si>
  <si>
    <t xml:space="preserve">      住房公积金</t>
  </si>
  <si>
    <t xml:space="preserve">      购房补贴</t>
  </si>
  <si>
    <t xml:space="preserve">  粮油物资储备支出</t>
  </si>
  <si>
    <t xml:space="preserve">    粮油事务</t>
  </si>
  <si>
    <t xml:space="preserve">      粮食财务挂账利息补贴</t>
  </si>
  <si>
    <t xml:space="preserve">      其他粮油事务支出</t>
  </si>
  <si>
    <t xml:space="preserve">    物资事务</t>
  </si>
  <si>
    <t xml:space="preserve">      专项贷款利息</t>
  </si>
  <si>
    <t xml:space="preserve">    粮油储备</t>
  </si>
  <si>
    <t xml:space="preserve">      其他粮油储备支出</t>
  </si>
  <si>
    <t xml:space="preserve">    重要商品储备</t>
  </si>
  <si>
    <t xml:space="preserve">      化肥储备</t>
  </si>
  <si>
    <t xml:space="preserve">      医药储备</t>
  </si>
  <si>
    <t xml:space="preserve">  灾害防治及应急管理支出</t>
  </si>
  <si>
    <t xml:space="preserve">    应急管理事务</t>
  </si>
  <si>
    <t>灾害风险防治</t>
  </si>
  <si>
    <t xml:space="preserve">      安全监管</t>
  </si>
  <si>
    <t xml:space="preserve">      应急救援</t>
  </si>
  <si>
    <t>应急管理</t>
  </si>
  <si>
    <t xml:space="preserve">      其他应急管理支出</t>
  </si>
  <si>
    <t xml:space="preserve">    消防事务</t>
  </si>
  <si>
    <t xml:space="preserve">      消防应急救援</t>
  </si>
  <si>
    <t xml:space="preserve">      煤矿安全监察事务</t>
  </si>
  <si>
    <t xml:space="preserve">    自然灾害救灾及恢复重建支出</t>
  </si>
  <si>
    <t xml:space="preserve">    自然灾害防治</t>
  </si>
  <si>
    <t xml:space="preserve">      地质灾害防治</t>
  </si>
  <si>
    <t xml:space="preserve">  应急管理</t>
  </si>
  <si>
    <t xml:space="preserve">      中央自然灾害生活补助</t>
  </si>
  <si>
    <t xml:space="preserve">      地方自然灾害生活补助</t>
  </si>
  <si>
    <t xml:space="preserve"> 自然灾害救灾补助</t>
  </si>
  <si>
    <t xml:space="preserve">      其他自然灾害生活救助支出</t>
  </si>
  <si>
    <t xml:space="preserve">  其他支出(类)</t>
  </si>
  <si>
    <t xml:space="preserve">    其他支出(款)</t>
  </si>
  <si>
    <t xml:space="preserve">      其他支出(项)</t>
  </si>
  <si>
    <t xml:space="preserve">  债务付息支出</t>
  </si>
  <si>
    <t xml:space="preserve">    地方政府一般债务付息支出</t>
  </si>
  <si>
    <t xml:space="preserve">      地方政府一般债券付息支出</t>
  </si>
  <si>
    <t xml:space="preserve">  债务发行费用支出</t>
  </si>
  <si>
    <t xml:space="preserve">    地方政府一般债务发行费用支出</t>
  </si>
  <si>
    <t>修文县2021年县本级一般公共预算支出决算情况表            （政府经济科目）</t>
  </si>
  <si>
    <t>工资奖金津补贴</t>
  </si>
  <si>
    <t>社会保障缴费</t>
  </si>
  <si>
    <t>住房公积金</t>
  </si>
  <si>
    <t>其他工资福利支出</t>
  </si>
  <si>
    <t>办公经费</t>
  </si>
  <si>
    <t>会议费</t>
  </si>
  <si>
    <t>培训费</t>
  </si>
  <si>
    <t>专用材料购置费</t>
  </si>
  <si>
    <t>委托业务费</t>
  </si>
  <si>
    <t>公务接待费</t>
  </si>
  <si>
    <t>公务用车运行维护费</t>
  </si>
  <si>
    <t>维修（护）费</t>
  </si>
  <si>
    <t>其他商品和服务支出</t>
  </si>
  <si>
    <t>机关资本性支出（一）</t>
  </si>
  <si>
    <t>基础设施建设</t>
  </si>
  <si>
    <t>公务用车购置</t>
  </si>
  <si>
    <t>设备购置</t>
  </si>
  <si>
    <t>其他资本性支出</t>
  </si>
  <si>
    <t>机关资本性支出（二）</t>
  </si>
  <si>
    <t>工资福利支出</t>
  </si>
  <si>
    <t>商品和服务支出</t>
  </si>
  <si>
    <t>资本性支出（一）</t>
  </si>
  <si>
    <t>利息补贴</t>
  </si>
  <si>
    <t>其他对企业补助</t>
  </si>
  <si>
    <t>社会福利和救助</t>
  </si>
  <si>
    <t>助学金</t>
  </si>
  <si>
    <t>个人农业生产补贴</t>
  </si>
  <si>
    <t>离退休费</t>
  </si>
  <si>
    <t>其他对个人和家庭补助</t>
  </si>
  <si>
    <t>对社会保险基金补助</t>
  </si>
  <si>
    <t>国内债务付息</t>
  </si>
  <si>
    <t>国内债务发行费用</t>
  </si>
  <si>
    <t>基本支出决算</t>
  </si>
  <si>
    <t xml:space="preserve">修文县2021年一般公共预算上级税收返还和转移支付决算表
</t>
  </si>
  <si>
    <t>名    称</t>
  </si>
  <si>
    <t>金额</t>
  </si>
  <si>
    <t>合            计</t>
  </si>
  <si>
    <t>返还性收入</t>
  </si>
  <si>
    <t>增值税和消费税税收返还收入</t>
  </si>
  <si>
    <t>所得税基数返还收入</t>
  </si>
  <si>
    <t>成品油价格和税费改革税收返还收入</t>
  </si>
  <si>
    <t>增值税“五五分享”税收返还收入</t>
  </si>
  <si>
    <t>一般性转移支付</t>
  </si>
  <si>
    <t>均衡性转移支付收入</t>
  </si>
  <si>
    <t>县级基本财力保障机制奖补资金收入</t>
  </si>
  <si>
    <t>结算补助收入</t>
  </si>
  <si>
    <t>重点生态功能区转移支付收入</t>
  </si>
  <si>
    <t>固定数额补助收入</t>
  </si>
  <si>
    <t>民族地区转移支付收入</t>
  </si>
  <si>
    <t>贫困地区转移支付收入</t>
  </si>
  <si>
    <t>公共安全共同财政事权转移支付收入</t>
  </si>
  <si>
    <t>教育共同财政事权转移支付收入</t>
  </si>
  <si>
    <t>文化旅游体育与传媒共同财政事权转移支付收入</t>
  </si>
  <si>
    <t>社会保障和就业共同财政事权转移支付收入</t>
  </si>
  <si>
    <t>医疗卫生共同财政事权转移支付收入</t>
  </si>
  <si>
    <t>节能环保共同财政事权转移支付收入</t>
  </si>
  <si>
    <t>城乡社区共同财政事权转移支付收入</t>
  </si>
  <si>
    <t>农林水共同财政事权转移支付收入</t>
  </si>
  <si>
    <t>交通运输共同财政事权转移支付收入</t>
  </si>
  <si>
    <t>住房保障共同财政事权转移支付收入</t>
  </si>
  <si>
    <t>灾害防治及应急管理共同财政事权转移支付收入</t>
  </si>
  <si>
    <t>其他一般性转移支付收入</t>
  </si>
  <si>
    <t>专项转移支付收入</t>
  </si>
  <si>
    <t>一般公共服务</t>
  </si>
  <si>
    <t>公共安全</t>
  </si>
  <si>
    <t>教育</t>
  </si>
  <si>
    <t>科学技术</t>
  </si>
  <si>
    <t>文化旅游体育与传媒</t>
  </si>
  <si>
    <t>社会保障和就业</t>
  </si>
  <si>
    <t>卫生健康</t>
  </si>
  <si>
    <t>节能环保</t>
  </si>
  <si>
    <t>城乡社区</t>
  </si>
  <si>
    <t>农林水</t>
  </si>
  <si>
    <t>交通运输</t>
  </si>
  <si>
    <t>资源勘探工业信息等</t>
  </si>
  <si>
    <t>商业服务业等</t>
  </si>
  <si>
    <t>金融</t>
  </si>
  <si>
    <t>住房保障</t>
  </si>
  <si>
    <t>粮油物资储备</t>
  </si>
  <si>
    <t>灾害防治及应急管理</t>
  </si>
  <si>
    <t>其他收入</t>
  </si>
  <si>
    <r>
      <rPr>
        <sz val="16"/>
        <color rgb="FF000000"/>
        <rFont val="黑体"/>
        <charset val="134"/>
      </rPr>
      <t>修文县2021年政府性基金</t>
    </r>
    <r>
      <rPr>
        <sz val="16"/>
        <rFont val="黑体"/>
        <charset val="134"/>
      </rPr>
      <t>预算收入决算情况表</t>
    </r>
  </si>
  <si>
    <t>为预算调整数%</t>
  </si>
  <si>
    <t>政府性基金收入合计</t>
  </si>
  <si>
    <t>国有土地使用权出让收入</t>
  </si>
  <si>
    <t>彩票公益金收入</t>
  </si>
  <si>
    <t>城市基础设施配套费收入</t>
  </si>
  <si>
    <t>污水处理费收入</t>
  </si>
  <si>
    <t>其他政府性基金收入</t>
  </si>
  <si>
    <t>项     目</t>
  </si>
  <si>
    <t>总支出决算数</t>
  </si>
  <si>
    <t>其中：</t>
  </si>
  <si>
    <t>本年上专支出</t>
  </si>
  <si>
    <t>本年本级支出</t>
  </si>
  <si>
    <t>政府性基金支出合计</t>
  </si>
  <si>
    <t xml:space="preserve">  旅游发展基金支出</t>
  </si>
  <si>
    <t xml:space="preserve">    地方旅游开发项目补助</t>
  </si>
  <si>
    <t xml:space="preserve">  大中型水库移民后期扶持基金支出</t>
  </si>
  <si>
    <t xml:space="preserve">    移民补助</t>
  </si>
  <si>
    <t xml:space="preserve">    基础设施建设和经济发展</t>
  </si>
  <si>
    <t xml:space="preserve">  小型水库移民扶助基金及对应专项债务收入安排的支出</t>
  </si>
  <si>
    <t xml:space="preserve">    其他小型水库移民扶助基金支出</t>
  </si>
  <si>
    <t xml:space="preserve">  社会保险基金支出</t>
  </si>
  <si>
    <t xml:space="preserve">      其他社会保险基金支出</t>
  </si>
  <si>
    <t xml:space="preserve">  国有土地使用权出让收入及对应专项债务收入安排的支出</t>
  </si>
  <si>
    <t xml:space="preserve">    征地和拆迁补偿支出</t>
  </si>
  <si>
    <t xml:space="preserve">    土地开发支出</t>
  </si>
  <si>
    <t xml:space="preserve">    城市建设支出</t>
  </si>
  <si>
    <t xml:space="preserve">    农村基础设施建设支出</t>
  </si>
  <si>
    <t xml:space="preserve">    土地出让业务支出</t>
  </si>
  <si>
    <t xml:space="preserve">    公共租赁住房支出</t>
  </si>
  <si>
    <t xml:space="preserve">    其他国有土地使用权出让收入安排的支出</t>
  </si>
  <si>
    <t xml:space="preserve">    城市公用事业附加及对应专项债务收入安排的支出</t>
  </si>
  <si>
    <t xml:space="preserve">    城市环境卫生</t>
  </si>
  <si>
    <t xml:space="preserve">  农业土地开发资金及对应专项债务收入安排的支出</t>
  </si>
  <si>
    <t xml:space="preserve">  城市基础设施配套费及对应专项债务收入安排的支出</t>
  </si>
  <si>
    <t xml:space="preserve">    城市公共设施</t>
  </si>
  <si>
    <t xml:space="preserve">    其他城市基础设施配套费安排的支出</t>
  </si>
  <si>
    <t xml:space="preserve">  污水处理费及对应专项债务收入安排的支出</t>
  </si>
  <si>
    <t xml:space="preserve">    污水处理设施建设和运营</t>
  </si>
  <si>
    <t>土地储备专项债券收入安排的支出</t>
  </si>
  <si>
    <t>土地开发支出</t>
  </si>
  <si>
    <t xml:space="preserve">  大中型水库库区基金及对应专项债务收入安排的支出</t>
  </si>
  <si>
    <t xml:space="preserve">  其他政府性基金及对应专项债务收入安排的支出</t>
  </si>
  <si>
    <t xml:space="preserve">其他地方自行试点项目收益专项债券收入安排的支出  </t>
  </si>
  <si>
    <t xml:space="preserve">  彩票公益金及对应专项债务收入安排的支出</t>
  </si>
  <si>
    <t xml:space="preserve">    用于社会福利的彩票公益金支出</t>
  </si>
  <si>
    <t xml:space="preserve">    用于体育事业的彩票公益金支出</t>
  </si>
  <si>
    <t xml:space="preserve">    用于教育事业的彩票公益金支出</t>
  </si>
  <si>
    <t xml:space="preserve">    用于残疾人事业的彩票公益金支出</t>
  </si>
  <si>
    <t xml:space="preserve">    用于城乡医疗救助的彩票公益金支出</t>
  </si>
  <si>
    <t xml:space="preserve">    用于其它社会公益事业的彩票公益金支出</t>
  </si>
  <si>
    <t xml:space="preserve">  地方政府专项债务付息支出</t>
  </si>
  <si>
    <t xml:space="preserve">  国有土地使用权出让金债务付息支出</t>
  </si>
  <si>
    <t xml:space="preserve">    国有土地使用权出让金债务付息支出</t>
  </si>
  <si>
    <t xml:space="preserve">  地方政府专项债务发行费用支出</t>
  </si>
  <si>
    <t xml:space="preserve">    国有土地使用权出让金债务发行费用支出</t>
  </si>
  <si>
    <t>抗疫特别国债安排的支出</t>
  </si>
  <si>
    <t xml:space="preserve">    公共卫生体系建设</t>
  </si>
  <si>
    <t xml:space="preserve">    市政设施建设</t>
  </si>
  <si>
    <t xml:space="preserve">  抗疫相关支出</t>
  </si>
  <si>
    <t xml:space="preserve">    援企稳岗补贴</t>
  </si>
  <si>
    <t xml:space="preserve">    困难群众基本生活补助</t>
  </si>
  <si>
    <t xml:space="preserve">    其他抗疫相关支出</t>
  </si>
  <si>
    <t xml:space="preserve">修文县2021年政府性基金转移支付决算表
</t>
  </si>
  <si>
    <t>政府性基金预算上级补助收入</t>
  </si>
  <si>
    <t>政府性基金转移支付收入</t>
  </si>
  <si>
    <t>项    目</t>
  </si>
  <si>
    <t>企业职工基本养老保险基金</t>
  </si>
  <si>
    <t>城乡居民基本养老保险基金</t>
  </si>
  <si>
    <t>机关事业单位基本养老保险基金</t>
  </si>
  <si>
    <t>职工基本医疗保险基金</t>
  </si>
  <si>
    <t>城乡居民基本医疗保险基金</t>
  </si>
  <si>
    <t>工伤保险基金</t>
  </si>
  <si>
    <t>失业保险基金</t>
  </si>
  <si>
    <t>生育保险基金</t>
  </si>
  <si>
    <t>一、收入</t>
  </si>
  <si>
    <t>其中:保险费收入</t>
  </si>
  <si>
    <t>利息收入</t>
  </si>
  <si>
    <t>财政补贴收入</t>
  </si>
  <si>
    <t>委托投资收益</t>
  </si>
  <si>
    <t>转移收入</t>
  </si>
  <si>
    <t>二、支出</t>
  </si>
  <si>
    <t>其中:社会保险待遇支出</t>
  </si>
  <si>
    <t>转移支出</t>
  </si>
  <si>
    <t>中央调剂资金支出</t>
  </si>
  <si>
    <t>三、本年收支结余</t>
  </si>
  <si>
    <t>四、年末滚存结余</t>
  </si>
  <si>
    <t>单位：</t>
  </si>
  <si>
    <t>万元</t>
  </si>
  <si>
    <t>上年决算数</t>
  </si>
  <si>
    <t>决算数为预算数的%</t>
  </si>
  <si>
    <t>决算数为上年决算数的%</t>
  </si>
  <si>
    <t>五、其他国有资本经营预算收入</t>
  </si>
  <si>
    <t>国有资本经营预算上级补助收入</t>
  </si>
  <si>
    <t xml:space="preserve">  本年收入合计</t>
  </si>
  <si>
    <t xml:space="preserve"> 上年预算结余结转</t>
  </si>
  <si>
    <t>收入总计</t>
  </si>
  <si>
    <t>二、国有资本经营预算支出</t>
  </si>
  <si>
    <t xml:space="preserve">  其他国有资本经营预算支出(款)</t>
  </si>
  <si>
    <t xml:space="preserve">    其他国有资本经营预算支出(项)</t>
  </si>
  <si>
    <t>备注：本表无数据</t>
  </si>
  <si>
    <t>序号</t>
  </si>
  <si>
    <t>类别</t>
  </si>
  <si>
    <t>单位名称</t>
  </si>
  <si>
    <t>说明</t>
  </si>
  <si>
    <t>总计</t>
  </si>
  <si>
    <t>人员</t>
  </si>
  <si>
    <t>水务局</t>
  </si>
  <si>
    <t>事业人员年终一次性奖金</t>
  </si>
  <si>
    <t>卫健局</t>
  </si>
  <si>
    <t>调出人员职业年金</t>
  </si>
  <si>
    <t>退休人员一次性退休补贴经费</t>
  </si>
  <si>
    <t>死亡人员丧葬费及抚恤金</t>
  </si>
  <si>
    <t>交通局</t>
  </si>
  <si>
    <t>运管职业年金单位缴纳部分</t>
  </si>
  <si>
    <t>商务局</t>
  </si>
  <si>
    <t>车改补贴</t>
  </si>
  <si>
    <t>发改局</t>
  </si>
  <si>
    <t>死亡抚恤金</t>
  </si>
  <si>
    <t>法院</t>
  </si>
  <si>
    <t>职业年金</t>
  </si>
  <si>
    <t>公安局</t>
  </si>
  <si>
    <t>人大</t>
  </si>
  <si>
    <t>县委办</t>
  </si>
  <si>
    <t>教育局</t>
  </si>
  <si>
    <t>财政局</t>
  </si>
  <si>
    <t>死亡一次性抚恤金</t>
  </si>
  <si>
    <t>生态局</t>
  </si>
  <si>
    <t>2020年1-9月事业人员奖励性绩效工资</t>
  </si>
  <si>
    <t>县委统战部</t>
  </si>
  <si>
    <t>应急管理局</t>
  </si>
  <si>
    <t>档案局</t>
  </si>
  <si>
    <t>抚恤金及丧葬费</t>
  </si>
  <si>
    <t>工信局</t>
  </si>
  <si>
    <t>市场监督管理局</t>
  </si>
  <si>
    <t>农业农村局</t>
  </si>
  <si>
    <t>政府办</t>
  </si>
  <si>
    <t>司法局</t>
  </si>
  <si>
    <t>阳明洞街道办</t>
  </si>
  <si>
    <t>宣传部</t>
  </si>
  <si>
    <t>人社局</t>
  </si>
  <si>
    <t>一次性退休补贴</t>
  </si>
  <si>
    <t>民政局</t>
  </si>
  <si>
    <t>医保局</t>
  </si>
  <si>
    <t>丧葬费及退休一次性补贴</t>
  </si>
  <si>
    <t>景阳街道办</t>
  </si>
  <si>
    <t>丧葬抚恤费</t>
  </si>
  <si>
    <t>遗属困难补助</t>
  </si>
  <si>
    <t>扎佐街道办</t>
  </si>
  <si>
    <t>退休职工死亡一次性抚恤金及丧葬费</t>
  </si>
  <si>
    <t>纪委</t>
  </si>
  <si>
    <t>修文县市场监督管理局</t>
  </si>
  <si>
    <t>修文县教育局</t>
  </si>
  <si>
    <t>贵阳市生态环境局修文分局</t>
  </si>
  <si>
    <t>事业人员奖励性绩效工资</t>
  </si>
  <si>
    <t>修文县工信局</t>
  </si>
  <si>
    <t>修文县人大常委会</t>
  </si>
  <si>
    <t>修文县人民检察院</t>
  </si>
  <si>
    <t>2019年度政府综合目标奖</t>
  </si>
  <si>
    <t>修文县卫健局</t>
  </si>
  <si>
    <t>龙场卫生服务中心退休人员死亡一次性抚恤金及丧葬费</t>
  </si>
  <si>
    <t>修文县财政局</t>
  </si>
  <si>
    <t>修文县农业农村局</t>
  </si>
  <si>
    <t>死亡人员一次性抚恤金及丧葬费</t>
  </si>
  <si>
    <t>修文县政府办</t>
  </si>
  <si>
    <t>修文县政协办</t>
  </si>
  <si>
    <t>修文县人民法院</t>
  </si>
  <si>
    <t>修文县信访局</t>
  </si>
  <si>
    <t>修文县扎佐街道办</t>
  </si>
  <si>
    <t>2020年度综合目标绩效考核奖</t>
  </si>
  <si>
    <t>修文县交警队</t>
  </si>
  <si>
    <t>死亡职工一次性抚恤金及丧葬费</t>
  </si>
  <si>
    <t>一次性退休补贴和死亡职工一次性抚恤金及丧葬费</t>
  </si>
  <si>
    <t>特殊疑难信访专项资金</t>
  </si>
  <si>
    <t>修文县统战部</t>
  </si>
  <si>
    <t>团县委第十八次代表大会工作经费</t>
  </si>
  <si>
    <t>修文县人大</t>
  </si>
  <si>
    <t>会议室装修经费</t>
  </si>
  <si>
    <t>2021年春节送温暖活动企业慰问资金</t>
  </si>
  <si>
    <t>2020年第一季度规上制造企业达产增产县级财政奖励资金</t>
  </si>
  <si>
    <t>修文县景阳街道办</t>
  </si>
  <si>
    <t>2020年公租房管理相关费用</t>
  </si>
  <si>
    <t>2020年二、三、四季度规上制造企业达产增产县级财政奖励资金</t>
  </si>
  <si>
    <t>春节持续生产企业外省籍人员新春留岗奖励资金</t>
  </si>
  <si>
    <t>修文县龙场街道办</t>
  </si>
  <si>
    <t>李元林（麟）土地征收补偿款</t>
  </si>
  <si>
    <t>2020年度医护人员年终医疗质量奖</t>
  </si>
  <si>
    <t>修文县宣传部</t>
  </si>
  <si>
    <t>“贵州龙场王阳明研究院”启动资金</t>
  </si>
  <si>
    <t>修文县脱贫攻坚一线干部健康体检经费</t>
  </si>
  <si>
    <t>缴纳麦架河流域、猫跳河下游影响区水质考核断面生态补偿金</t>
  </si>
  <si>
    <t>2020-2021年度健康贵阳行动民生基因检测经费</t>
  </si>
  <si>
    <t>修文县组织部</t>
  </si>
  <si>
    <t>2021年度县、乡、村换届工作经费</t>
  </si>
  <si>
    <t>修文县统计局</t>
  </si>
  <si>
    <t>月度劳动力调查工作经费</t>
  </si>
  <si>
    <t>2021年企业春节期间加班生产电费县级奖补资金</t>
  </si>
  <si>
    <t>修文县发改局</t>
  </si>
  <si>
    <t>贵阳市上规服务业企业外省员工新春留岗奖励资金</t>
  </si>
  <si>
    <t>修文县文旅局</t>
  </si>
  <si>
    <t>外省员工新春留岗奖励资金</t>
  </si>
  <si>
    <t>修文县自然资源局</t>
  </si>
  <si>
    <t>乡（镇、街道）2021年森林防灭火经费</t>
  </si>
  <si>
    <t>修文县商务局</t>
  </si>
  <si>
    <t>兑现贵阳市2021年限额以上批零餐企业外省员工新春留岗奖励资金</t>
  </si>
  <si>
    <t>2021年度县管专家科研创作经费</t>
  </si>
  <si>
    <t>修文县党史学习专班办公室运转经费</t>
  </si>
  <si>
    <t>修文县档案局</t>
  </si>
  <si>
    <t>档案信息化扫描经费</t>
  </si>
  <si>
    <t>对绿地环保科技股份有限公司修文分公司（修文县城污水处理厂）污水处理进行成本监审所需工作经费</t>
  </si>
  <si>
    <t>修文县人社局</t>
  </si>
  <si>
    <t>修文县2021年事业单位工作人员招录工作经费</t>
  </si>
  <si>
    <t>修文县住建局</t>
  </si>
  <si>
    <t>在筑施工企业外省员工新春留岗奖励资金</t>
  </si>
  <si>
    <t>修文县水务局</t>
  </si>
  <si>
    <t>办公大楼防渗水处理资金</t>
  </si>
  <si>
    <t>建党100周年期间信访维稳工作经费</t>
  </si>
  <si>
    <t>县人民政府网站建设、政务网使用等运维经费</t>
  </si>
  <si>
    <t>修文县纪委</t>
  </si>
  <si>
    <t>审查调查专项工作经费</t>
  </si>
  <si>
    <t>修文县2021年公开招聘事业单位工作人员工作经费</t>
  </si>
  <si>
    <t>修文县领导干部乡村振兴能力提升培训班经费</t>
  </si>
  <si>
    <t>修文县残联</t>
  </si>
  <si>
    <t>残疾人托养中心建设项目用地报批资金</t>
  </si>
  <si>
    <t>庆祝中国共产党成立100周年系列活动经费</t>
  </si>
  <si>
    <t>庆祝中国共产党成立100周年“七一”文艺晚会活动经费</t>
  </si>
  <si>
    <t>庆祝中国共产党成立100周年氛围营造经费</t>
  </si>
  <si>
    <t>贵阳市第十一届旅游产业发展大会经费</t>
  </si>
  <si>
    <t>奖励贵州轮胎股份有限公司高管资金</t>
  </si>
  <si>
    <t>奖励首钢贵阳特殊钢有限公司高管资金</t>
  </si>
  <si>
    <t>修文县生态局</t>
  </si>
  <si>
    <t>《修文县生态环境问题警示片》配音费用</t>
  </si>
  <si>
    <t>集中配发第三代残疾证所需资金</t>
  </si>
  <si>
    <t>修文县文体局</t>
  </si>
  <si>
    <t>一节一会亲亲田园项目建设补助经费</t>
  </si>
  <si>
    <t>茶马古道-蜈蚣桥古道之蜈蚣桥修缮工程款</t>
  </si>
  <si>
    <t>重大会议（活动）期间信访工作经费</t>
  </si>
  <si>
    <t>修文县阳明洞街道办</t>
  </si>
  <si>
    <t>征用营盘山水库周边围网范围内土地资金</t>
  </si>
  <si>
    <t>中央和省级政法纪检监察转移支付资金</t>
  </si>
  <si>
    <t>离任村干部生活补贴</t>
  </si>
  <si>
    <t>学前教育基本工资</t>
  </si>
  <si>
    <t>小学教育基本工资</t>
  </si>
  <si>
    <t>小学教育津贴补贴</t>
  </si>
  <si>
    <t>小学教育住房公积金</t>
  </si>
  <si>
    <t>学前教育绩效工资</t>
  </si>
  <si>
    <t>小学教育绩效工资</t>
  </si>
  <si>
    <t>小学教育其他对个人和家庭的补助</t>
  </si>
  <si>
    <t>小学教育其他工资福利支出</t>
  </si>
  <si>
    <t>修文县综合行政执法局</t>
  </si>
  <si>
    <t>行政临聘人员经费</t>
  </si>
  <si>
    <t>行政基本工资</t>
  </si>
  <si>
    <t>行政奖金</t>
  </si>
  <si>
    <t>事业基本工资</t>
  </si>
  <si>
    <t>行政住房公积金</t>
  </si>
  <si>
    <t>行政津补贴</t>
  </si>
  <si>
    <t>事业津补贴</t>
  </si>
  <si>
    <t>行政机关单位养老保险缴费</t>
  </si>
  <si>
    <t>行政职工基本医疗保险缴费</t>
  </si>
  <si>
    <t>修文自然资源局</t>
  </si>
  <si>
    <t>基本工资</t>
  </si>
  <si>
    <t>津贴补贴</t>
  </si>
  <si>
    <t>绩效工资</t>
  </si>
  <si>
    <t>1-10月奖励性绩效</t>
  </si>
  <si>
    <t>机关事业单位养老保险缴费</t>
  </si>
  <si>
    <t>职工基本医疗保险</t>
  </si>
  <si>
    <t>其他社会保障缴费</t>
  </si>
  <si>
    <t>修文县卫生健康局</t>
  </si>
  <si>
    <t>事业单位养老保险缴费</t>
  </si>
  <si>
    <t>事业单位基本医疗保险缴费</t>
  </si>
  <si>
    <t>调出县外人员单位职业年金</t>
  </si>
  <si>
    <t>修文县久长街道办</t>
  </si>
  <si>
    <t>退休人员退休费</t>
  </si>
  <si>
    <t>退休职工单位部分职业年金</t>
  </si>
  <si>
    <t>修文县人大办</t>
  </si>
  <si>
    <t>临近退休职工单位部分职业年金</t>
  </si>
  <si>
    <t>事业绩效工资</t>
  </si>
  <si>
    <t>事业公积金</t>
  </si>
  <si>
    <t>事业养老保险</t>
  </si>
  <si>
    <t>事业医保</t>
  </si>
  <si>
    <t>综合目标考核奖</t>
  </si>
  <si>
    <t>修文县编委办</t>
  </si>
  <si>
    <t>事业单位津贴补贴</t>
  </si>
  <si>
    <t>事业单位养老</t>
  </si>
  <si>
    <t>事业单位公积金</t>
  </si>
  <si>
    <t>事业医保、大额、注册资金、工伤保险</t>
  </si>
  <si>
    <t>综合目标奖</t>
  </si>
  <si>
    <t>行政单位养老</t>
  </si>
  <si>
    <t>工伤保险</t>
  </si>
  <si>
    <t>退休费</t>
  </si>
  <si>
    <t>机关事业单位基本养老保险</t>
  </si>
  <si>
    <t>职工基本医疗保险缴费</t>
  </si>
  <si>
    <t>基础性绩效</t>
  </si>
  <si>
    <t>城镇职工基本医疗保险缴费</t>
  </si>
  <si>
    <t>调出人员单位缴纳职业年金</t>
  </si>
  <si>
    <t>修文县公安局</t>
  </si>
  <si>
    <t>事业工伤保险</t>
  </si>
  <si>
    <t>事业医疗保险</t>
  </si>
  <si>
    <t>事业住房公积金</t>
  </si>
  <si>
    <t>目标奖</t>
  </si>
  <si>
    <t>行政退休费</t>
  </si>
  <si>
    <t>行政医疗保险</t>
  </si>
  <si>
    <t>修文县医保局</t>
  </si>
  <si>
    <t>基础性绩效工资</t>
  </si>
  <si>
    <t>养老保险</t>
  </si>
  <si>
    <t>医疗保险</t>
  </si>
  <si>
    <t>公积金</t>
  </si>
  <si>
    <t>修文县民政局</t>
  </si>
  <si>
    <t>奖金</t>
  </si>
  <si>
    <t>修文县退役军人事务局</t>
  </si>
  <si>
    <t>十三月工资</t>
  </si>
  <si>
    <t>公车补助</t>
  </si>
  <si>
    <t>预退休人员2022年单位缴纳部分职业年金</t>
  </si>
  <si>
    <t>其他社会保险</t>
  </si>
  <si>
    <t>抚恤金</t>
  </si>
  <si>
    <t>生活补助</t>
  </si>
  <si>
    <t>修文县司法局</t>
  </si>
  <si>
    <t>行政人员基本工资</t>
  </si>
  <si>
    <t>行政人员津补贴</t>
  </si>
  <si>
    <t>电话费</t>
  </si>
  <si>
    <t>乡镇工作补贴</t>
  </si>
  <si>
    <t>边补</t>
  </si>
  <si>
    <t>行政人员奖金</t>
  </si>
  <si>
    <t>行政人员公积金</t>
  </si>
  <si>
    <t>行政人员基本医疗保险</t>
  </si>
  <si>
    <t>行政人员大额医疗保险</t>
  </si>
  <si>
    <t>行政人员注入资金</t>
  </si>
  <si>
    <t>行政人员养老保险</t>
  </si>
  <si>
    <t>行政人员工伤保险</t>
  </si>
  <si>
    <t>行政人员目标奖</t>
  </si>
  <si>
    <t>事业人员基本工资</t>
  </si>
  <si>
    <t>事业人员津补贴</t>
  </si>
  <si>
    <t>事业人员基础性绩效</t>
  </si>
  <si>
    <t>事业人员基本医疗保险</t>
  </si>
  <si>
    <t>事业人员大额医疗保险</t>
  </si>
  <si>
    <t>事业人员注入资金</t>
  </si>
  <si>
    <t>事业人员公积金</t>
  </si>
  <si>
    <t>事业人员工伤保险</t>
  </si>
  <si>
    <t>事业人员养老保险</t>
  </si>
  <si>
    <t>事业人员目标奖</t>
  </si>
  <si>
    <t>临聘人员工资</t>
  </si>
  <si>
    <t>预退休人员单位缴费部分职业年金</t>
  </si>
  <si>
    <t>修文中学</t>
  </si>
  <si>
    <t>事业人员退休费</t>
  </si>
  <si>
    <t>修文县总工会</t>
  </si>
  <si>
    <t>机关事业单位基本养老保险缴费</t>
  </si>
  <si>
    <t>其他交通费用</t>
  </si>
  <si>
    <t>中共修文县委办</t>
  </si>
  <si>
    <t>退休职工抚恤金及丧葬费</t>
  </si>
  <si>
    <t>修文县市场监管局</t>
  </si>
  <si>
    <t>公车补贴</t>
  </si>
  <si>
    <t>人员退休补贴</t>
  </si>
  <si>
    <t>行政津贴补贴</t>
  </si>
  <si>
    <t>行政职工基本医疗保险缴纳费</t>
  </si>
  <si>
    <t>事业职工基本医疗保险缴纳费</t>
  </si>
  <si>
    <t>修文县棚改中心</t>
  </si>
  <si>
    <t>事业职工基本医疗保险缴费</t>
  </si>
  <si>
    <t>事业津贴补贴</t>
  </si>
  <si>
    <t>2020年综合目标考核奖及2021年第一季度目标考核奖</t>
  </si>
  <si>
    <t>高层次人才2021年度医保补助</t>
  </si>
  <si>
    <t>修文县供销社</t>
  </si>
  <si>
    <t>修文县县委办</t>
  </si>
  <si>
    <t>单位缴纳职业年金</t>
  </si>
  <si>
    <t>单位职工一次性退休补贴</t>
  </si>
  <si>
    <t>退休人员职业年金及退休补贴</t>
  </si>
  <si>
    <t>修文县政法委</t>
  </si>
  <si>
    <t>退休费补贴</t>
  </si>
  <si>
    <t>机关事业单位职业年金缴费支出</t>
  </si>
  <si>
    <t>县纪委</t>
  </si>
  <si>
    <t>退休人员单位职业年金</t>
  </si>
  <si>
    <t>修文县经开区</t>
  </si>
  <si>
    <t>医保</t>
  </si>
  <si>
    <t>定额工作经费</t>
  </si>
  <si>
    <t>专项业务费</t>
  </si>
  <si>
    <t>新进行政人员工会经费</t>
  </si>
  <si>
    <t>基本医疗保险</t>
  </si>
  <si>
    <t>大额医疗保险</t>
  </si>
  <si>
    <t>注入资金</t>
  </si>
  <si>
    <t>工会经费</t>
  </si>
  <si>
    <t>人员定额</t>
  </si>
  <si>
    <t>退休人员死亡抚恤金及丧葬费</t>
  </si>
  <si>
    <t>事业单位养老保险</t>
  </si>
  <si>
    <t>事业职工基本医疗保险</t>
  </si>
  <si>
    <t>第四季度目标奖</t>
  </si>
  <si>
    <t>年终一次性奖金</t>
  </si>
  <si>
    <t>离休费</t>
  </si>
  <si>
    <t>遗属补助</t>
  </si>
  <si>
    <t xml:space="preserve">事业津贴补贴  </t>
  </si>
  <si>
    <t>事业医保、工伤</t>
  </si>
  <si>
    <t>事业绩效</t>
  </si>
  <si>
    <t>城镇职工工伤保险缴费</t>
  </si>
  <si>
    <t>调离及退休人员单位部分职业年金</t>
  </si>
  <si>
    <t>预退休人员职业年金</t>
  </si>
  <si>
    <t>修文县人武部</t>
  </si>
  <si>
    <t>职工养老保险</t>
  </si>
  <si>
    <t>2021年底债务限额</t>
  </si>
  <si>
    <t>2021年底债务余额</t>
  </si>
  <si>
    <t>小计</t>
  </si>
  <si>
    <t>一般债务限额</t>
  </si>
  <si>
    <t>专项债务限额</t>
  </si>
  <si>
    <t>一般债务余额</t>
  </si>
  <si>
    <t>专项债务余额</t>
  </si>
  <si>
    <t>附表17</t>
  </si>
  <si>
    <t>2021年度算账表</t>
  </si>
  <si>
    <t>单位：元</t>
  </si>
  <si>
    <t>项      目</t>
  </si>
  <si>
    <t>大石</t>
  </si>
  <si>
    <t>谷堡</t>
  </si>
  <si>
    <t>六桶</t>
  </si>
  <si>
    <t>六屯</t>
  </si>
  <si>
    <t>洒坪</t>
  </si>
  <si>
    <t>小箐</t>
  </si>
  <si>
    <t>六广</t>
  </si>
  <si>
    <t>公   共   财   政   预  算</t>
  </si>
  <si>
    <t>根据修府办函[2021]3号关于印发《修文县乡（镇）财政管理体制》的通知，六广、洒坪、谷堡镇年度超收在 100 万元以内的，县、镇按4：6 进行分成，超过 100 万元的部分按 3：7 进行分成；其余乡（镇）超收的，县、乡（镇）按 1：9 进行分成</t>
  </si>
  <si>
    <t>收入总合计</t>
  </si>
  <si>
    <t>说明：所有收入合计数（当年列收支+不列收支）</t>
  </si>
  <si>
    <t>一、一般公共预算收入合计</t>
  </si>
  <si>
    <t>说明：当年列收支的收入数</t>
  </si>
  <si>
    <t>（一）本级一般公共预算收入</t>
  </si>
  <si>
    <t>收入目标数</t>
  </si>
  <si>
    <t>取数说明：2021年税收及非税目标数</t>
  </si>
  <si>
    <t>收入完成数</t>
  </si>
  <si>
    <t>取数说明：2021年税收及非税完成数</t>
  </si>
  <si>
    <t>1.专项转移支付收入</t>
  </si>
  <si>
    <t>（1）上级转移支付收入</t>
  </si>
  <si>
    <t>取数说明：转下达台账中所有下达当年上专指标</t>
  </si>
  <si>
    <t>（2）县级转移支付收入</t>
  </si>
  <si>
    <t>取数说明：转下达台账中所有下达当年县级指标及下控制数中的项目类资金</t>
  </si>
  <si>
    <t>其中：下达项目类控制数</t>
  </si>
  <si>
    <t>2.县级财力补助</t>
  </si>
  <si>
    <t>（1）体制补助收入</t>
  </si>
  <si>
    <t xml:space="preserve">    基本支出补助收入</t>
  </si>
  <si>
    <t>取数说明：根据体制要求，所有基本支出（包含下控制数中的人员类资金）-2021年收入完成数</t>
  </si>
  <si>
    <t xml:space="preserve">    卫生费</t>
  </si>
  <si>
    <t xml:space="preserve">    专项业务费</t>
  </si>
  <si>
    <t>（2）超收情况</t>
  </si>
  <si>
    <t>（3）超收补助（负数为欠收）</t>
  </si>
  <si>
    <t>（4）欠收补助收入（明年扣回）</t>
  </si>
  <si>
    <t>（二）上年结余</t>
  </si>
  <si>
    <t>根据修府办函[2021]3号关于印发《修文县乡（镇）财政管理体制》的通知，六广、洒坪、谷堡镇年度超收在 100 万元以内的，县、镇按4：6 进行分成，超过 100 万元的部分按 3：7 进行分成；其余乡（镇）超收的，县、乡（镇）按 1：9 进行分成。</t>
  </si>
  <si>
    <t>二、资金补助收入</t>
  </si>
  <si>
    <t xml:space="preserve">    存量资金收入</t>
  </si>
  <si>
    <t>取数说明：转下达台账中所有下达的存量资金</t>
  </si>
  <si>
    <t xml:space="preserve">    基金补助收入</t>
  </si>
  <si>
    <t>取数说明：转下达台账中所有下达基金类资金</t>
  </si>
  <si>
    <t xml:space="preserve">    以前年度资金补助收入</t>
  </si>
  <si>
    <t>取数说明：转下达台账中所有下达以前年度指标资金</t>
  </si>
  <si>
    <t xml:space="preserve">    其他资金收入</t>
  </si>
  <si>
    <t>取数说明：乡镇不列支，不作为下控制数额度</t>
  </si>
  <si>
    <t>三、一般公共预算支出合计</t>
  </si>
  <si>
    <t>（一）乡镇本级一般公共预算支出</t>
  </si>
  <si>
    <t>取数说明：一般预算支出表乡镇本级支出数</t>
  </si>
  <si>
    <t>（二）县级一般公共预算支出</t>
  </si>
  <si>
    <t>取数说明：一般预算支出表县级安排支出数</t>
  </si>
  <si>
    <t>其中：下达项目类控制数支出</t>
  </si>
  <si>
    <t>（三）上级专项支出</t>
  </si>
  <si>
    <t xml:space="preserve">取数说明：一般预算支出表上级补助支出数 </t>
  </si>
  <si>
    <t>（四）上解支出</t>
  </si>
  <si>
    <t>（五）调出资金</t>
  </si>
  <si>
    <t xml:space="preserve">     补充预算稳定调节基金</t>
  </si>
  <si>
    <t>四、一般公共预算年终结余</t>
  </si>
  <si>
    <t xml:space="preserve">    减：结转下年上专支出</t>
  </si>
  <si>
    <t>取数说明：乡镇结转至下年的上专支出数</t>
  </si>
  <si>
    <t xml:space="preserve">    减：结转下年本级支出</t>
  </si>
  <si>
    <t>取数说明：乡镇结转至下年的本级支出数（结转至下年的本级指标）</t>
  </si>
  <si>
    <t>预算净结余</t>
  </si>
  <si>
    <t>下文定数</t>
  </si>
  <si>
    <t>注：乡镇补助支出=乡镇本级一般公共预算支出（B列第30行）+县级一般公共预算支出（B列第31行）-收入完成数（B列第10行）</t>
  </si>
</sst>
</file>

<file path=xl/styles.xml><?xml version="1.0" encoding="utf-8"?>
<styleSheet xmlns="http://schemas.openxmlformats.org/spreadsheetml/2006/main">
  <numFmts count="1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* #,##0.00_-;\-* #,##0.00_-;_-* &quot;-&quot;??_-;_-@_-"/>
    <numFmt numFmtId="177" formatCode="_-* #,##0_-;\-* #,##0_-;_-* &quot;-&quot;_-;_-@_-"/>
    <numFmt numFmtId="178" formatCode="* #,##0.00;* \-#,##0.00;* &quot;-&quot;??;@"/>
    <numFmt numFmtId="179" formatCode="_(* #,##0.00_);_(* \(#,##0.00\);_(* &quot;-&quot;??_);_(@_)"/>
    <numFmt numFmtId="180" formatCode="#,##0.00_ "/>
    <numFmt numFmtId="181" formatCode="0.00_ "/>
    <numFmt numFmtId="182" formatCode="#,##0.00_ ;[Red]\-#,##0.00\ "/>
    <numFmt numFmtId="183" formatCode="#,##0_ "/>
    <numFmt numFmtId="184" formatCode="0_);[Red]\(0\)"/>
    <numFmt numFmtId="185" formatCode="0.E+00"/>
    <numFmt numFmtId="186" formatCode="#,##0_);[Red]\(#,##0\)"/>
  </numFmts>
  <fonts count="108">
    <font>
      <sz val="12"/>
      <name val="宋体"/>
      <charset val="134"/>
    </font>
    <font>
      <sz val="12"/>
      <name val="黑体"/>
      <charset val="134"/>
    </font>
    <font>
      <b/>
      <sz val="16"/>
      <name val="宋体"/>
      <charset val="134"/>
    </font>
    <font>
      <b/>
      <sz val="16"/>
      <name val="黑体"/>
      <charset val="134"/>
    </font>
    <font>
      <sz val="12"/>
      <name val="Arial"/>
      <charset val="134"/>
    </font>
    <font>
      <b/>
      <sz val="14"/>
      <name val="宋体"/>
      <charset val="134"/>
    </font>
    <font>
      <sz val="14"/>
      <name val="宋体"/>
      <charset val="134"/>
    </font>
    <font>
      <sz val="14"/>
      <name val="黑体"/>
      <charset val="134"/>
    </font>
    <font>
      <sz val="14"/>
      <color indexed="8"/>
      <name val="黑体"/>
      <charset val="134"/>
    </font>
    <font>
      <sz val="9"/>
      <name val="黑体"/>
      <charset val="134"/>
    </font>
    <font>
      <sz val="16"/>
      <color indexed="8"/>
      <name val="黑体"/>
      <charset val="134"/>
    </font>
    <font>
      <sz val="12"/>
      <color indexed="8"/>
      <name val="宋体"/>
      <charset val="134"/>
      <scheme val="minor"/>
    </font>
    <font>
      <b/>
      <sz val="9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  <font>
      <sz val="9"/>
      <name val="Arial"/>
      <charset val="134"/>
    </font>
    <font>
      <sz val="16"/>
      <name val="黑体"/>
      <charset val="134"/>
    </font>
    <font>
      <b/>
      <sz val="10.5"/>
      <name val="Calibri"/>
      <charset val="134"/>
    </font>
    <font>
      <sz val="10"/>
      <name val="Calibri"/>
      <charset val="134"/>
    </font>
    <font>
      <b/>
      <sz val="10"/>
      <color theme="1"/>
      <name val="宋体"/>
      <charset val="134"/>
    </font>
    <font>
      <b/>
      <sz val="12"/>
      <name val="宋体"/>
      <charset val="134"/>
    </font>
    <font>
      <sz val="10"/>
      <color theme="1"/>
      <name val="宋体"/>
      <charset val="134"/>
    </font>
    <font>
      <sz val="12"/>
      <color indexed="8"/>
      <name val="黑体"/>
      <charset val="134"/>
    </font>
    <font>
      <b/>
      <sz val="11"/>
      <color indexed="8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6"/>
      <color rgb="FF000000"/>
      <name val="黑体"/>
      <charset val="134"/>
    </font>
    <font>
      <sz val="11"/>
      <color indexed="8"/>
      <name val="宋体"/>
      <charset val="134"/>
    </font>
    <font>
      <sz val="12"/>
      <name val="Tahoma"/>
      <charset val="134"/>
    </font>
    <font>
      <b/>
      <sz val="10"/>
      <color indexed="8"/>
      <name val="宋体"/>
      <charset val="134"/>
    </font>
    <font>
      <sz val="10"/>
      <color indexed="8"/>
      <name val="宋体"/>
      <charset val="134"/>
    </font>
    <font>
      <b/>
      <sz val="16"/>
      <color indexed="8"/>
      <name val="宋体"/>
      <charset val="134"/>
    </font>
    <font>
      <sz val="11"/>
      <color indexed="8"/>
      <name val="Tahoma"/>
      <charset val="134"/>
    </font>
    <font>
      <sz val="20"/>
      <name val="宋体"/>
      <charset val="134"/>
    </font>
    <font>
      <b/>
      <sz val="12"/>
      <name val="黑体"/>
      <charset val="134"/>
    </font>
    <font>
      <sz val="10"/>
      <name val="宋体"/>
      <charset val="134"/>
      <scheme val="minor"/>
    </font>
    <font>
      <b/>
      <sz val="18"/>
      <name val="宋体"/>
      <charset val="134"/>
      <scheme val="minor"/>
    </font>
    <font>
      <b/>
      <sz val="10"/>
      <name val="宋体"/>
      <charset val="134"/>
      <scheme val="minor"/>
    </font>
    <font>
      <sz val="18"/>
      <name val="宋体"/>
      <charset val="134"/>
      <scheme val="minor"/>
    </font>
    <font>
      <sz val="11"/>
      <name val="宋体"/>
      <charset val="134"/>
      <scheme val="minor"/>
    </font>
    <font>
      <sz val="12"/>
      <name val="仿宋_GB2312"/>
      <charset val="134"/>
    </font>
    <font>
      <sz val="22"/>
      <name val="楷体"/>
      <charset val="134"/>
    </font>
    <font>
      <sz val="24"/>
      <name val="楷体"/>
      <charset val="134"/>
    </font>
    <font>
      <b/>
      <sz val="18"/>
      <name val="楷体"/>
      <charset val="134"/>
    </font>
    <font>
      <b/>
      <sz val="20"/>
      <name val="宋体"/>
      <charset val="134"/>
    </font>
    <font>
      <sz val="12"/>
      <name val="楷体"/>
      <charset val="134"/>
    </font>
    <font>
      <sz val="11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134"/>
      <scheme val="minor"/>
    </font>
    <font>
      <b/>
      <sz val="18"/>
      <color theme="3"/>
      <name val="宋体"/>
      <charset val="134"/>
      <scheme val="maj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0"/>
      <name val="Arial"/>
      <charset val="134"/>
    </font>
    <font>
      <sz val="12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rgb="FFFA7D00"/>
      <name val="宋体"/>
      <charset val="134"/>
      <scheme val="minor"/>
    </font>
    <font>
      <sz val="10"/>
      <name val="MS Sans Serif"/>
      <charset val="134"/>
    </font>
    <font>
      <sz val="11"/>
      <color indexed="20"/>
      <name val="宋体"/>
      <charset val="134"/>
    </font>
    <font>
      <i/>
      <sz val="11"/>
      <color indexed="23"/>
      <name val="宋体"/>
      <charset val="134"/>
    </font>
    <font>
      <sz val="11"/>
      <color indexed="17"/>
      <name val="宋体"/>
      <charset val="134"/>
    </font>
    <font>
      <sz val="11"/>
      <color rgb="FF3F3F76"/>
      <name val="宋体"/>
      <charset val="134"/>
      <scheme val="minor"/>
    </font>
    <font>
      <sz val="11"/>
      <color indexed="9"/>
      <name val="宋体"/>
      <charset val="134"/>
    </font>
    <font>
      <sz val="10"/>
      <name val="Arial"/>
      <charset val="134"/>
    </font>
    <font>
      <b/>
      <sz val="18"/>
      <color indexed="56"/>
      <name val="宋体"/>
      <charset val="134"/>
    </font>
    <font>
      <sz val="10"/>
      <color indexed="8"/>
      <name val="Arial"/>
      <charset val="134"/>
    </font>
    <font>
      <sz val="9"/>
      <color rgb="FF000000"/>
      <name val="宋体"/>
      <charset val="134"/>
      <scheme val="minor"/>
    </font>
    <font>
      <b/>
      <sz val="11"/>
      <color indexed="9"/>
      <name val="宋体"/>
      <charset val="134"/>
    </font>
    <font>
      <sz val="11"/>
      <color indexed="62"/>
      <name val="宋体"/>
      <charset val="134"/>
    </font>
    <font>
      <u/>
      <sz val="11"/>
      <color indexed="12"/>
      <name val="宋体"/>
      <charset val="134"/>
    </font>
    <font>
      <b/>
      <sz val="11"/>
      <color indexed="52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6"/>
      <color rgb="FF000000"/>
      <name val="Times New Roman"/>
      <charset val="134"/>
    </font>
    <font>
      <sz val="9"/>
      <name val="宋体"/>
      <charset val="134"/>
    </font>
    <font>
      <b/>
      <sz val="9"/>
      <name val="宋体"/>
      <charset val="134"/>
    </font>
  </fonts>
  <fills count="74">
    <fill>
      <patternFill patternType="none"/>
    </fill>
    <fill>
      <patternFill patternType="gray125"/>
    </fill>
    <fill>
      <patternFill patternType="solid">
        <fgColor theme="5" tint="0.8"/>
        <bgColor indexed="64"/>
      </patternFill>
    </fill>
    <fill>
      <patternFill patternType="solid">
        <fgColor theme="8" tint="0.799920651875362"/>
        <bgColor indexed="64"/>
      </patternFill>
    </fill>
    <fill>
      <patternFill patternType="solid">
        <fgColor theme="5" tint="0.799920651875362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20651875362"/>
        <bgColor indexed="64"/>
      </patternFill>
    </fill>
    <fill>
      <patternFill patternType="solid">
        <fgColor theme="7" tint="0.39991454817346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20651875362"/>
        <bgColor indexed="64"/>
      </patternFill>
    </fill>
    <fill>
      <patternFill patternType="solid">
        <fgColor theme="7" tint="0.79992065187536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1454817346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1454817346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1454817346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1454817346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1454817346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399914548173467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theme="4" tint="0.39997558519241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91"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0" fillId="0" borderId="0" applyProtection="0"/>
    <xf numFmtId="42" fontId="48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8" fillId="4" borderId="0" applyNumberFormat="0" applyBorder="0" applyAlignment="0" applyProtection="0">
      <alignment vertical="center"/>
    </xf>
    <xf numFmtId="44" fontId="48" fillId="0" borderId="0" applyFont="0" applyFill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51" fillId="8" borderId="13" applyNumberFormat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54" fillId="0" borderId="15" applyNumberFormat="0" applyFill="0" applyAlignment="0" applyProtection="0">
      <alignment vertical="center"/>
    </xf>
    <xf numFmtId="0" fontId="55" fillId="16" borderId="0" applyNumberFormat="0" applyBorder="0" applyAlignment="0" applyProtection="0">
      <alignment vertical="center"/>
    </xf>
    <xf numFmtId="0" fontId="52" fillId="17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8" fillId="19" borderId="16" applyNumberFormat="0" applyFont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48" fillId="22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23" borderId="17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24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66" fillId="27" borderId="20" applyNumberFormat="0" applyAlignment="0" applyProtection="0">
      <alignment vertical="center"/>
    </xf>
    <xf numFmtId="0" fontId="67" fillId="27" borderId="13" applyNumberFormat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69" fillId="23" borderId="17" applyNumberFormat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29" fillId="19" borderId="16" applyNumberFormat="0" applyFont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2" fillId="31" borderId="0" applyNumberFormat="0" applyBorder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3" fillId="33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74" fillId="27" borderId="20" applyNumberFormat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75" fillId="0" borderId="0">
      <alignment vertical="center"/>
    </xf>
    <xf numFmtId="0" fontId="50" fillId="28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8" fillId="3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58" fillId="39" borderId="0" applyNumberFormat="0" applyBorder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8" fillId="31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61" fillId="0" borderId="23" applyNumberFormat="0" applyFill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76" fillId="27" borderId="13" applyNumberFormat="0" applyAlignment="0" applyProtection="0">
      <alignment vertical="center"/>
    </xf>
    <xf numFmtId="0" fontId="77" fillId="33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9" fontId="79" fillId="0" borderId="0" applyFont="0" applyFill="0" applyBorder="0" applyAlignment="0" applyProtection="0"/>
    <xf numFmtId="0" fontId="80" fillId="0" borderId="0"/>
    <xf numFmtId="0" fontId="52" fillId="30" borderId="0" applyNumberFormat="0" applyBorder="0" applyAlignment="0" applyProtection="0">
      <alignment vertical="center"/>
    </xf>
    <xf numFmtId="0" fontId="52" fillId="4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0" borderId="22" applyNumberFormat="0" applyFill="0" applyAlignment="0" applyProtection="0">
      <alignment vertical="center"/>
    </xf>
    <xf numFmtId="0" fontId="48" fillId="37" borderId="0" applyNumberFormat="0" applyBorder="0" applyAlignment="0" applyProtection="0">
      <alignment vertical="center"/>
    </xf>
    <xf numFmtId="0" fontId="48" fillId="36" borderId="0" applyNumberFormat="0" applyBorder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0" fontId="29" fillId="46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0" fontId="48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37" fillId="0" borderId="0"/>
    <xf numFmtId="0" fontId="29" fillId="52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83" fillId="0" borderId="24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5" fillId="0" borderId="26" applyNumberFormat="0" applyFill="0" applyAlignment="0" applyProtection="0">
      <alignment vertical="center"/>
    </xf>
    <xf numFmtId="0" fontId="48" fillId="34" borderId="0" applyNumberFormat="0" applyBorder="0" applyAlignment="0" applyProtection="0">
      <alignment vertical="center"/>
    </xf>
    <xf numFmtId="0" fontId="29" fillId="56" borderId="0" applyNumberFormat="0" applyBorder="0" applyAlignment="0" applyProtection="0">
      <alignment vertical="center"/>
    </xf>
    <xf numFmtId="0" fontId="48" fillId="57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86" fillId="0" borderId="21" applyNumberFormat="0" applyFill="0" applyAlignment="0" applyProtection="0">
      <alignment vertical="center"/>
    </xf>
    <xf numFmtId="0" fontId="52" fillId="3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" fontId="87" fillId="0" borderId="0" applyFont="0" applyFill="0" applyBorder="0" applyAlignment="0" applyProtection="0"/>
    <xf numFmtId="0" fontId="88" fillId="47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0" fillId="0" borderId="0"/>
    <xf numFmtId="0" fontId="29" fillId="60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15" fillId="0" borderId="0" applyProtection="0"/>
    <xf numFmtId="0" fontId="90" fillId="50" borderId="0" applyNumberFormat="0" applyBorder="0" applyAlignment="0" applyProtection="0">
      <alignment vertical="center"/>
    </xf>
    <xf numFmtId="0" fontId="91" fillId="8" borderId="13" applyNumberFormat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92" fillId="62" borderId="0" applyNumberFormat="0" applyBorder="0" applyAlignment="0" applyProtection="0">
      <alignment vertical="center"/>
    </xf>
    <xf numFmtId="0" fontId="92" fillId="53" borderId="0" applyNumberFormat="0" applyBorder="0" applyAlignment="0" applyProtection="0">
      <alignment vertical="center"/>
    </xf>
    <xf numFmtId="0" fontId="52" fillId="21" borderId="0" applyNumberFormat="0" applyBorder="0" applyAlignment="0" applyProtection="0">
      <alignment vertical="center"/>
    </xf>
    <xf numFmtId="0" fontId="0" fillId="0" borderId="0"/>
    <xf numFmtId="0" fontId="92" fillId="60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92" fillId="63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92" fillId="64" borderId="0" applyNumberFormat="0" applyBorder="0" applyAlignment="0" applyProtection="0">
      <alignment vertical="center"/>
    </xf>
    <xf numFmtId="0" fontId="92" fillId="65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61" fillId="0" borderId="27" applyNumberFormat="0" applyFill="0" applyAlignment="0" applyProtection="0">
      <alignment vertical="center"/>
    </xf>
    <xf numFmtId="178" fontId="79" fillId="0" borderId="0" applyFont="0" applyFill="0" applyBorder="0" applyAlignment="0" applyProtection="0"/>
    <xf numFmtId="179" fontId="93" fillId="0" borderId="0" applyFont="0" applyFill="0" applyBorder="0" applyAlignment="0" applyProtection="0"/>
    <xf numFmtId="0" fontId="85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5" fillId="0" borderId="0"/>
    <xf numFmtId="0" fontId="25" fillId="0" borderId="28" applyNumberFormat="0" applyFill="0" applyAlignment="0" applyProtection="0">
      <alignment vertical="center"/>
    </xf>
    <xf numFmtId="0" fontId="96" fillId="0" borderId="0">
      <alignment vertical="center"/>
    </xf>
    <xf numFmtId="0" fontId="34" fillId="0" borderId="0"/>
    <xf numFmtId="0" fontId="0" fillId="0" borderId="0"/>
    <xf numFmtId="0" fontId="29" fillId="0" borderId="0" applyProtection="0">
      <alignment vertical="center"/>
    </xf>
    <xf numFmtId="0" fontId="93" fillId="0" borderId="0" applyNumberFormat="0" applyFont="0" applyFill="0" applyBorder="0" applyAlignment="0" applyProtection="0"/>
    <xf numFmtId="0" fontId="0" fillId="0" borderId="0"/>
    <xf numFmtId="0" fontId="97" fillId="66" borderId="29" applyNumberFormat="0" applyAlignment="0" applyProtection="0">
      <alignment vertical="center"/>
    </xf>
    <xf numFmtId="0" fontId="48" fillId="0" borderId="0"/>
    <xf numFmtId="176" fontId="0" fillId="0" borderId="0" applyFont="0" applyFill="0" applyBorder="0" applyAlignment="0" applyProtection="0">
      <alignment vertical="center"/>
    </xf>
    <xf numFmtId="176" fontId="48" fillId="0" borderId="0" applyFont="0" applyFill="0" applyBorder="0" applyAlignment="0" applyProtection="0">
      <alignment vertical="center"/>
    </xf>
    <xf numFmtId="0" fontId="93" fillId="0" borderId="0"/>
    <xf numFmtId="0" fontId="98" fillId="58" borderId="30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176" fontId="29" fillId="0" borderId="0" applyFont="0" applyFill="0" applyBorder="0" applyAlignment="0" applyProtection="0">
      <alignment vertical="center"/>
    </xf>
    <xf numFmtId="0" fontId="29" fillId="0" borderId="0"/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9" fillId="0" borderId="0" applyNumberFormat="0" applyFill="0" applyBorder="0" applyAlignment="0" applyProtection="0">
      <alignment vertical="center"/>
    </xf>
    <xf numFmtId="0" fontId="100" fillId="67" borderId="30" applyNumberFormat="0" applyAlignment="0" applyProtection="0">
      <alignment vertical="center"/>
    </xf>
    <xf numFmtId="0" fontId="92" fillId="68" borderId="0" applyNumberFormat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2" fillId="0" borderId="31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92" fillId="69" borderId="0" applyNumberFormat="0" applyBorder="0" applyAlignment="0" applyProtection="0">
      <alignment vertical="center"/>
    </xf>
    <xf numFmtId="0" fontId="92" fillId="70" borderId="0" applyNumberFormat="0" applyBorder="0" applyAlignment="0" applyProtection="0">
      <alignment vertical="center"/>
    </xf>
    <xf numFmtId="0" fontId="92" fillId="71" borderId="0" applyNumberFormat="0" applyBorder="0" applyAlignment="0" applyProtection="0">
      <alignment vertical="center"/>
    </xf>
    <xf numFmtId="0" fontId="103" fillId="72" borderId="0" applyNumberFormat="0" applyBorder="0" applyAlignment="0" applyProtection="0">
      <alignment vertical="center"/>
    </xf>
    <xf numFmtId="0" fontId="104" fillId="67" borderId="32" applyNumberFormat="0" applyAlignment="0" applyProtection="0">
      <alignment vertical="center"/>
    </xf>
    <xf numFmtId="0" fontId="0" fillId="73" borderId="33" applyNumberFormat="0" applyFont="0" applyAlignment="0" applyProtection="0">
      <alignment vertical="center"/>
    </xf>
  </cellStyleXfs>
  <cellXfs count="371">
    <xf numFmtId="0" fontId="0" fillId="0" borderId="0" xfId="0">
      <alignment vertical="center"/>
    </xf>
    <xf numFmtId="0" fontId="1" fillId="0" borderId="0" xfId="0" applyFont="1" applyFill="1" applyBorder="1" applyAlignment="1">
      <alignment horizontal="left"/>
    </xf>
    <xf numFmtId="0" fontId="0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0" fillId="0" borderId="1" xfId="0" applyFont="1" applyFill="1" applyBorder="1" applyAlignment="1" applyProtection="1">
      <alignment horizontal="center" vertical="center" wrapText="1"/>
    </xf>
    <xf numFmtId="180" fontId="0" fillId="0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Font="1" applyFill="1" applyBorder="1" applyAlignment="1" applyProtection="1">
      <alignment horizontal="left" vertical="center" wrapText="1"/>
    </xf>
    <xf numFmtId="180" fontId="0" fillId="0" borderId="1" xfId="0" applyNumberFormat="1" applyFont="1" applyFill="1" applyBorder="1" applyAlignment="1" applyProtection="1">
      <alignment horizontal="right" vertical="center"/>
      <protection locked="0"/>
    </xf>
    <xf numFmtId="180" fontId="0" fillId="0" borderId="1" xfId="0" applyNumberFormat="1" applyFont="1" applyFill="1" applyBorder="1" applyAlignment="1" applyProtection="1">
      <alignment horizontal="center" vertical="center" wrapText="1"/>
    </xf>
    <xf numFmtId="180" fontId="0" fillId="0" borderId="1" xfId="0" applyNumberFormat="1" applyFont="1" applyFill="1" applyBorder="1" applyAlignment="1" applyProtection="1">
      <alignment horizontal="right" vertical="center" wrapText="1"/>
    </xf>
    <xf numFmtId="0" fontId="0" fillId="0" borderId="1" xfId="0" applyNumberFormat="1" applyFont="1" applyFill="1" applyBorder="1" applyAlignment="1" applyProtection="1">
      <alignment horizontal="left" vertical="center" shrinkToFit="1"/>
    </xf>
    <xf numFmtId="180" fontId="0" fillId="0" borderId="1" xfId="0" applyNumberFormat="1" applyFont="1" applyFill="1" applyBorder="1" applyAlignment="1" applyProtection="1">
      <alignment horizontal="center" vertical="center" shrinkToFit="1"/>
    </xf>
    <xf numFmtId="180" fontId="0" fillId="0" borderId="1" xfId="0" applyNumberFormat="1" applyFont="1" applyFill="1" applyBorder="1" applyAlignment="1" applyProtection="1">
      <alignment horizontal="right" vertical="center"/>
    </xf>
    <xf numFmtId="181" fontId="0" fillId="0" borderId="1" xfId="0" applyNumberFormat="1" applyFont="1" applyFill="1" applyBorder="1" applyAlignment="1" applyProtection="1">
      <alignment horizontal="center" vertical="center" wrapText="1"/>
    </xf>
    <xf numFmtId="181" fontId="0" fillId="0" borderId="1" xfId="0" applyNumberFormat="1" applyFont="1" applyFill="1" applyBorder="1" applyAlignment="1">
      <alignment horizontal="center" vertical="center"/>
    </xf>
    <xf numFmtId="180" fontId="0" fillId="0" borderId="1" xfId="0" applyNumberFormat="1" applyFont="1" applyFill="1" applyBorder="1" applyAlignment="1" applyProtection="1">
      <alignment horizontal="right" vertical="center" shrinkToFit="1"/>
    </xf>
    <xf numFmtId="43" fontId="0" fillId="0" borderId="1" xfId="26" applyNumberFormat="1" applyFont="1" applyFill="1" applyBorder="1" applyAlignment="1" applyProtection="1">
      <alignment horizontal="left" vertical="center" shrinkToFit="1"/>
    </xf>
    <xf numFmtId="180" fontId="0" fillId="0" borderId="1" xfId="0" applyNumberFormat="1" applyFont="1" applyFill="1" applyBorder="1" applyAlignment="1">
      <alignment horizontal="right"/>
    </xf>
    <xf numFmtId="182" fontId="0" fillId="0" borderId="1" xfId="0" applyNumberFormat="1" applyFont="1" applyFill="1" applyBorder="1" applyAlignment="1" applyProtection="1">
      <alignment horizontal="center" vertical="center" shrinkToFit="1"/>
    </xf>
    <xf numFmtId="180" fontId="0" fillId="0" borderId="1" xfId="0" applyNumberFormat="1" applyFont="1" applyFill="1" applyBorder="1" applyAlignment="1" applyProtection="1">
      <alignment horizontal="left" vertical="center"/>
      <protection locked="0"/>
    </xf>
    <xf numFmtId="0" fontId="0" fillId="0" borderId="0" xfId="0" applyFont="1" applyFill="1" applyBorder="1" applyAlignment="1">
      <alignment horizontal="left"/>
    </xf>
    <xf numFmtId="180" fontId="0" fillId="0" borderId="0" xfId="0" applyNumberFormat="1" applyFont="1" applyFill="1" applyBorder="1" applyAlignment="1">
      <alignment horizontal="right"/>
    </xf>
    <xf numFmtId="180" fontId="0" fillId="0" borderId="0" xfId="0" applyNumberFormat="1" applyFont="1" applyFill="1" applyBorder="1" applyAlignment="1">
      <alignment horizontal="left"/>
    </xf>
    <xf numFmtId="0" fontId="0" fillId="0" borderId="1" xfId="0" applyFont="1" applyFill="1" applyBorder="1" applyAlignment="1">
      <alignment horizontal="center" vertical="center" wrapText="1"/>
    </xf>
    <xf numFmtId="180" fontId="0" fillId="0" borderId="1" xfId="0" applyNumberFormat="1" applyFont="1" applyFill="1" applyBorder="1" applyAlignment="1" applyProtection="1">
      <alignment horizontal="left" vertical="center" wrapText="1"/>
    </xf>
    <xf numFmtId="180" fontId="0" fillId="0" borderId="1" xfId="0" applyNumberFormat="1" applyFont="1" applyFill="1" applyBorder="1" applyAlignment="1" applyProtection="1">
      <alignment horizontal="left" vertical="center"/>
    </xf>
    <xf numFmtId="180" fontId="0" fillId="0" borderId="1" xfId="0" applyNumberFormat="1" applyFont="1" applyFill="1" applyBorder="1" applyAlignment="1">
      <alignment horizontal="left" wrapText="1"/>
    </xf>
    <xf numFmtId="180" fontId="0" fillId="0" borderId="1" xfId="0" applyNumberFormat="1" applyFont="1" applyFill="1" applyBorder="1" applyAlignment="1">
      <alignment horizontal="left"/>
    </xf>
    <xf numFmtId="0" fontId="0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43" fontId="0" fillId="0" borderId="1" xfId="0" applyNumberFormat="1" applyFont="1" applyFill="1" applyBorder="1" applyAlignment="1" applyProtection="1">
      <alignment horizontal="right" vertical="center"/>
      <protection locked="0"/>
    </xf>
    <xf numFmtId="0" fontId="1" fillId="0" borderId="0" xfId="0" applyFont="1" applyFill="1" applyAlignment="1">
      <alignment vertical="center"/>
    </xf>
    <xf numFmtId="0" fontId="3" fillId="0" borderId="0" xfId="176" applyFont="1" applyFill="1" applyAlignment="1">
      <alignment horizontal="center" vertical="center" wrapText="1"/>
    </xf>
    <xf numFmtId="0" fontId="3" fillId="0" borderId="0" xfId="176" applyFont="1" applyFill="1" applyAlignment="1">
      <alignment vertical="center" wrapText="1"/>
    </xf>
    <xf numFmtId="0" fontId="4" fillId="0" borderId="0" xfId="129" applyFont="1" applyFill="1" applyAlignment="1"/>
    <xf numFmtId="0" fontId="4" fillId="0" borderId="0" xfId="176" applyFont="1" applyFill="1" applyAlignment="1">
      <alignment vertical="center"/>
    </xf>
    <xf numFmtId="0" fontId="0" fillId="0" borderId="0" xfId="176" applyFont="1" applyFill="1" applyBorder="1" applyAlignment="1">
      <alignment vertical="center"/>
    </xf>
    <xf numFmtId="0" fontId="4" fillId="0" borderId="0" xfId="176" applyFont="1" applyFill="1" applyBorder="1" applyAlignment="1">
      <alignment vertical="center"/>
    </xf>
    <xf numFmtId="0" fontId="5" fillId="0" borderId="1" xfId="105" applyFont="1" applyFill="1" applyBorder="1" applyAlignment="1" applyProtection="1">
      <alignment horizontal="center" vertical="center"/>
    </xf>
    <xf numFmtId="0" fontId="5" fillId="0" borderId="1" xfId="105" applyFont="1" applyFill="1" applyBorder="1" applyAlignment="1">
      <alignment horizontal="center" vertical="center"/>
    </xf>
    <xf numFmtId="0" fontId="6" fillId="0" borderId="1" xfId="105" applyFont="1" applyFill="1" applyBorder="1" applyAlignment="1" applyProtection="1">
      <alignment horizontal="center" vertical="center"/>
    </xf>
    <xf numFmtId="0" fontId="0" fillId="0" borderId="4" xfId="105" applyFont="1" applyFill="1" applyBorder="1" applyAlignment="1">
      <alignment horizontal="center" vertical="center"/>
    </xf>
    <xf numFmtId="0" fontId="0" fillId="0" borderId="3" xfId="105" applyFont="1" applyFill="1" applyBorder="1" applyAlignment="1">
      <alignment horizontal="center" vertical="center"/>
    </xf>
    <xf numFmtId="180" fontId="6" fillId="0" borderId="1" xfId="105" applyNumberFormat="1" applyFont="1" applyFill="1" applyBorder="1" applyAlignment="1" applyProtection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center"/>
    </xf>
    <xf numFmtId="183" fontId="8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left" vertical="center"/>
    </xf>
    <xf numFmtId="183" fontId="11" fillId="0" borderId="0" xfId="0" applyNumberFormat="1" applyFont="1" applyFill="1" applyBorder="1" applyAlignment="1">
      <alignment horizontal="right" vertical="center" wrapText="1"/>
    </xf>
    <xf numFmtId="0" fontId="10" fillId="0" borderId="0" xfId="0" applyFont="1" applyFill="1" applyBorder="1" applyAlignment="1">
      <alignment horizontal="center" vertical="center"/>
    </xf>
    <xf numFmtId="0" fontId="12" fillId="0" borderId="1" xfId="155" applyFont="1" applyFill="1" applyBorder="1" applyAlignment="1">
      <alignment horizontal="center" vertical="center" wrapText="1"/>
    </xf>
    <xf numFmtId="0" fontId="13" fillId="0" borderId="1" xfId="155" applyFont="1" applyFill="1" applyBorder="1" applyAlignment="1">
      <alignment horizontal="center" vertical="center" wrapText="1"/>
    </xf>
    <xf numFmtId="0" fontId="13" fillId="0" borderId="1" xfId="155" applyFont="1" applyFill="1" applyBorder="1" applyAlignment="1">
      <alignment horizontal="left" vertical="center" wrapText="1"/>
    </xf>
    <xf numFmtId="183" fontId="13" fillId="0" borderId="1" xfId="171" applyNumberFormat="1" applyFont="1" applyFill="1" applyBorder="1" applyAlignment="1">
      <alignment horizontal="center" vertical="center" wrapText="1"/>
    </xf>
    <xf numFmtId="43" fontId="14" fillId="0" borderId="1" xfId="171" applyFont="1" applyFill="1" applyBorder="1" applyAlignment="1">
      <alignment horizontal="center" vertical="center" wrapText="1"/>
    </xf>
    <xf numFmtId="0" fontId="12" fillId="0" borderId="5" xfId="155" applyFont="1" applyFill="1" applyBorder="1" applyAlignment="1">
      <alignment horizontal="center" vertical="center" wrapText="1"/>
    </xf>
    <xf numFmtId="0" fontId="13" fillId="0" borderId="6" xfId="155" applyFont="1" applyFill="1" applyBorder="1" applyAlignment="1">
      <alignment horizontal="center" vertical="center" wrapText="1"/>
    </xf>
    <xf numFmtId="0" fontId="12" fillId="0" borderId="6" xfId="155" applyFont="1" applyFill="1" applyBorder="1" applyAlignment="1">
      <alignment horizontal="center" vertical="center" wrapText="1"/>
    </xf>
    <xf numFmtId="0" fontId="13" fillId="0" borderId="7" xfId="155" applyFont="1" applyFill="1" applyBorder="1" applyAlignment="1">
      <alignment horizontal="left" vertical="center" wrapText="1"/>
    </xf>
    <xf numFmtId="183" fontId="14" fillId="0" borderId="1" xfId="171" applyNumberFormat="1" applyFont="1" applyFill="1" applyBorder="1" applyAlignment="1">
      <alignment horizontal="right" vertical="center" wrapText="1"/>
    </xf>
    <xf numFmtId="0" fontId="15" fillId="0" borderId="1" xfId="155" applyFont="1" applyFill="1" applyBorder="1" applyAlignment="1">
      <alignment horizontal="center" vertical="center" wrapText="1"/>
    </xf>
    <xf numFmtId="0" fontId="15" fillId="0" borderId="1" xfId="155" applyFont="1" applyFill="1" applyBorder="1" applyAlignment="1">
      <alignment horizontal="left" vertical="center" wrapText="1"/>
    </xf>
    <xf numFmtId="180" fontId="15" fillId="0" borderId="1" xfId="171" applyNumberFormat="1" applyFont="1" applyFill="1" applyBorder="1" applyAlignment="1">
      <alignment horizontal="right" vertical="center" wrapText="1"/>
    </xf>
    <xf numFmtId="43" fontId="14" fillId="2" borderId="7" xfId="171" applyFont="1" applyFill="1" applyBorder="1" applyAlignment="1">
      <alignment horizontal="center" vertical="center" wrapText="1"/>
    </xf>
    <xf numFmtId="0" fontId="14" fillId="2" borderId="7" xfId="155" applyFont="1" applyFill="1" applyBorder="1" applyAlignment="1">
      <alignment horizontal="center" vertical="center" wrapText="1"/>
    </xf>
    <xf numFmtId="0" fontId="15" fillId="0" borderId="2" xfId="155" applyFont="1" applyFill="1" applyBorder="1" applyAlignment="1">
      <alignment horizontal="center" vertical="center" wrapText="1"/>
    </xf>
    <xf numFmtId="0" fontId="15" fillId="0" borderId="3" xfId="155" applyFont="1" applyFill="1" applyBorder="1" applyAlignment="1">
      <alignment horizontal="center" vertical="center" wrapText="1"/>
    </xf>
    <xf numFmtId="0" fontId="15" fillId="0" borderId="4" xfId="155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left" vertical="center" wrapText="1"/>
    </xf>
    <xf numFmtId="43" fontId="16" fillId="0" borderId="1" xfId="26" applyNumberFormat="1" applyFont="1" applyFill="1" applyBorder="1" applyAlignment="1">
      <alignment horizontal="left" vertical="center"/>
    </xf>
    <xf numFmtId="181" fontId="15" fillId="0" borderId="1" xfId="0" applyNumberFormat="1" applyFont="1" applyFill="1" applyBorder="1">
      <alignment vertical="center"/>
    </xf>
    <xf numFmtId="0" fontId="15" fillId="0" borderId="2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1" fillId="0" borderId="0" xfId="0" applyFont="1">
      <alignment vertical="center"/>
    </xf>
    <xf numFmtId="0" fontId="3" fillId="0" borderId="0" xfId="176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13" fillId="0" borderId="1" xfId="177" applyFont="1" applyBorder="1" applyAlignment="1">
      <alignment horizontal="center" vertical="center"/>
    </xf>
    <xf numFmtId="0" fontId="13" fillId="0" borderId="5" xfId="177" applyFont="1" applyBorder="1" applyAlignment="1">
      <alignment horizontal="center" vertical="center"/>
    </xf>
    <xf numFmtId="3" fontId="13" fillId="0" borderId="1" xfId="105" applyNumberFormat="1" applyFont="1" applyFill="1" applyBorder="1" applyAlignment="1" applyProtection="1">
      <alignment horizontal="center" vertical="center"/>
    </xf>
    <xf numFmtId="0" fontId="13" fillId="0" borderId="1" xfId="105" applyFont="1" applyBorder="1" applyAlignment="1">
      <alignment horizontal="center" vertical="center" wrapText="1"/>
    </xf>
    <xf numFmtId="0" fontId="15" fillId="0" borderId="1" xfId="177" applyFont="1" applyBorder="1" applyAlignment="1">
      <alignment horizontal="center"/>
    </xf>
    <xf numFmtId="0" fontId="12" fillId="0" borderId="5" xfId="177" applyFont="1" applyBorder="1" applyAlignment="1">
      <alignment horizontal="left" vertical="center"/>
    </xf>
    <xf numFmtId="0" fontId="15" fillId="0" borderId="1" xfId="177" applyFont="1" applyBorder="1" applyAlignment="1">
      <alignment horizontal="right" vertical="center" wrapText="1"/>
    </xf>
    <xf numFmtId="183" fontId="15" fillId="0" borderId="1" xfId="177" applyNumberFormat="1" applyFont="1" applyBorder="1" applyAlignment="1">
      <alignment horizontal="right" vertical="center"/>
    </xf>
    <xf numFmtId="10" fontId="15" fillId="0" borderId="1" xfId="177" applyNumberFormat="1" applyFont="1" applyBorder="1" applyAlignment="1">
      <alignment horizontal="right" vertical="center"/>
    </xf>
    <xf numFmtId="10" fontId="15" fillId="0" borderId="1" xfId="177" applyNumberFormat="1" applyFont="1" applyBorder="1" applyAlignment="1">
      <alignment horizontal="center" vertical="center"/>
    </xf>
    <xf numFmtId="0" fontId="15" fillId="0" borderId="2" xfId="177" applyFont="1" applyBorder="1" applyAlignment="1">
      <alignment horizontal="center"/>
    </xf>
    <xf numFmtId="0" fontId="15" fillId="0" borderId="8" xfId="177" applyFont="1" applyBorder="1" applyAlignment="1">
      <alignment vertical="center" shrinkToFit="1"/>
    </xf>
    <xf numFmtId="0" fontId="15" fillId="0" borderId="2" xfId="177" applyFont="1" applyBorder="1" applyAlignment="1">
      <alignment horizontal="right" vertical="center" wrapText="1"/>
    </xf>
    <xf numFmtId="183" fontId="15" fillId="0" borderId="2" xfId="177" applyNumberFormat="1" applyFont="1" applyBorder="1" applyAlignment="1">
      <alignment horizontal="right" vertical="center"/>
    </xf>
    <xf numFmtId="0" fontId="15" fillId="0" borderId="1" xfId="177" applyFont="1" applyBorder="1" applyAlignment="1">
      <alignment vertical="center" shrinkToFit="1"/>
    </xf>
    <xf numFmtId="0" fontId="15" fillId="0" borderId="0" xfId="177" applyFont="1"/>
    <xf numFmtId="0" fontId="17" fillId="0" borderId="0" xfId="177" applyFont="1"/>
    <xf numFmtId="183" fontId="17" fillId="0" borderId="0" xfId="177" applyNumberFormat="1" applyFont="1" applyAlignment="1">
      <alignment horizontal="right"/>
    </xf>
    <xf numFmtId="0" fontId="18" fillId="0" borderId="0" xfId="105" applyFont="1" applyAlignment="1">
      <alignment vertical="center" wrapText="1"/>
    </xf>
    <xf numFmtId="0" fontId="3" fillId="0" borderId="9" xfId="176" applyFont="1" applyBorder="1" applyAlignment="1">
      <alignment horizontal="center" vertical="center" wrapText="1"/>
    </xf>
    <xf numFmtId="0" fontId="0" fillId="0" borderId="9" xfId="176" applyFont="1" applyBorder="1" applyAlignment="1">
      <alignment horizontal="center" vertical="center" wrapText="1"/>
    </xf>
    <xf numFmtId="0" fontId="15" fillId="0" borderId="1" xfId="177" applyFont="1" applyBorder="1" applyAlignment="1">
      <alignment horizontal="center" vertical="center"/>
    </xf>
    <xf numFmtId="0" fontId="12" fillId="0" borderId="5" xfId="177" applyFont="1" applyBorder="1" applyAlignment="1">
      <alignment horizontal="left" vertical="center" wrapText="1" shrinkToFit="1"/>
    </xf>
    <xf numFmtId="0" fontId="12" fillId="0" borderId="1" xfId="177" applyFont="1" applyBorder="1" applyAlignment="1">
      <alignment horizontal="center" vertical="center"/>
    </xf>
    <xf numFmtId="183" fontId="12" fillId="0" borderId="1" xfId="177" applyNumberFormat="1" applyFont="1" applyBorder="1" applyAlignment="1">
      <alignment horizontal="right" vertical="center"/>
    </xf>
    <xf numFmtId="10" fontId="15" fillId="0" borderId="1" xfId="177" applyNumberFormat="1" applyFont="1" applyBorder="1" applyAlignment="1">
      <alignment horizontal="center"/>
    </xf>
    <xf numFmtId="0" fontId="15" fillId="0" borderId="5" xfId="177" applyFont="1" applyBorder="1" applyAlignment="1">
      <alignment horizontal="left" vertical="center" wrapText="1"/>
    </xf>
    <xf numFmtId="0" fontId="15" fillId="0" borderId="1" xfId="177" applyFont="1" applyBorder="1" applyAlignment="1">
      <alignment horizontal="center" vertical="center" wrapText="1"/>
    </xf>
    <xf numFmtId="0" fontId="12" fillId="0" borderId="5" xfId="177" applyFont="1" applyBorder="1" applyAlignment="1">
      <alignment horizontal="center" vertical="center"/>
    </xf>
    <xf numFmtId="0" fontId="15" fillId="0" borderId="0" xfId="177" applyFont="1" applyBorder="1" applyAlignment="1">
      <alignment horizontal="left" vertical="center" wrapText="1"/>
    </xf>
    <xf numFmtId="0" fontId="15" fillId="0" borderId="0" xfId="168" applyFont="1" applyBorder="1" applyAlignment="1">
      <alignment horizontal="left" vertical="center" wrapText="1"/>
    </xf>
    <xf numFmtId="180" fontId="3" fillId="0" borderId="0" xfId="176" applyNumberFormat="1" applyFont="1" applyBorder="1" applyAlignment="1">
      <alignment horizontal="center" vertical="center" wrapText="1"/>
    </xf>
    <xf numFmtId="0" fontId="4" fillId="0" borderId="0" xfId="175" applyFont="1" applyFill="1" applyAlignment="1">
      <alignment horizontal="left" vertical="center" wrapText="1"/>
    </xf>
    <xf numFmtId="180" fontId="0" fillId="0" borderId="0" xfId="105" applyNumberFormat="1" applyFont="1">
      <alignment vertical="center"/>
    </xf>
    <xf numFmtId="0" fontId="0" fillId="0" borderId="0" xfId="105" applyFont="1">
      <alignment vertical="center"/>
    </xf>
    <xf numFmtId="10" fontId="0" fillId="0" borderId="0" xfId="105" applyNumberFormat="1" applyFont="1" applyFill="1">
      <alignment vertical="center"/>
    </xf>
    <xf numFmtId="0" fontId="13" fillId="0" borderId="1" xfId="140" applyNumberFormat="1" applyFont="1" applyFill="1" applyBorder="1" applyAlignment="1" applyProtection="1">
      <alignment horizontal="center" vertical="center"/>
    </xf>
    <xf numFmtId="180" fontId="13" fillId="0" borderId="1" xfId="140" applyNumberFormat="1" applyFont="1" applyFill="1" applyBorder="1" applyAlignment="1" applyProtection="1">
      <alignment horizontal="center" vertical="center" wrapText="1"/>
    </xf>
    <xf numFmtId="0" fontId="13" fillId="0" borderId="1" xfId="140" applyNumberFormat="1" applyFont="1" applyFill="1" applyBorder="1" applyAlignment="1" applyProtection="1">
      <alignment horizontal="center" vertical="center" wrapText="1"/>
    </xf>
    <xf numFmtId="0" fontId="13" fillId="0" borderId="1" xfId="140" applyNumberFormat="1" applyFont="1" applyFill="1" applyBorder="1" applyAlignment="1" applyProtection="1">
      <alignment vertical="center"/>
    </xf>
    <xf numFmtId="180" fontId="14" fillId="0" borderId="1" xfId="140" applyNumberFormat="1" applyFont="1" applyFill="1" applyBorder="1" applyAlignment="1" applyProtection="1">
      <alignment horizontal="right" vertical="center"/>
    </xf>
    <xf numFmtId="4" fontId="14" fillId="0" borderId="1" xfId="140" applyNumberFormat="1" applyFont="1" applyFill="1" applyBorder="1" applyAlignment="1" applyProtection="1">
      <alignment horizontal="right" vertical="center"/>
    </xf>
    <xf numFmtId="0" fontId="14" fillId="0" borderId="1" xfId="140" applyNumberFormat="1" applyFont="1" applyFill="1" applyBorder="1" applyAlignment="1" applyProtection="1">
      <alignment horizontal="left" vertical="center"/>
    </xf>
    <xf numFmtId="0" fontId="14" fillId="0" borderId="1" xfId="140" applyNumberFormat="1" applyFont="1" applyFill="1" applyBorder="1" applyAlignment="1" applyProtection="1">
      <alignment horizontal="left" vertical="center" wrapText="1"/>
    </xf>
    <xf numFmtId="0" fontId="13" fillId="0" borderId="1" xfId="140" applyNumberFormat="1" applyFont="1" applyFill="1" applyBorder="1" applyAlignment="1" applyProtection="1">
      <alignment horizontal="left" vertical="center"/>
    </xf>
    <xf numFmtId="180" fontId="0" fillId="0" borderId="0" xfId="0" applyNumberFormat="1" applyFont="1" applyFill="1" applyAlignment="1">
      <alignment vertical="center"/>
    </xf>
    <xf numFmtId="0" fontId="3" fillId="0" borderId="0" xfId="176" applyFont="1" applyAlignment="1">
      <alignment horizontal="center" vertical="center" wrapText="1"/>
    </xf>
    <xf numFmtId="0" fontId="18" fillId="0" borderId="0" xfId="105" applyFont="1" applyAlignment="1">
      <alignment horizontal="right" vertical="center" wrapText="1"/>
    </xf>
    <xf numFmtId="0" fontId="13" fillId="0" borderId="2" xfId="176" applyFont="1" applyBorder="1" applyAlignment="1">
      <alignment horizontal="center" vertical="center"/>
    </xf>
    <xf numFmtId="0" fontId="13" fillId="0" borderId="1" xfId="176" applyFont="1" applyBorder="1" applyAlignment="1">
      <alignment horizontal="center" vertical="center"/>
    </xf>
    <xf numFmtId="0" fontId="13" fillId="0" borderId="4" xfId="176" applyFont="1" applyBorder="1" applyAlignment="1">
      <alignment horizontal="center" vertical="center"/>
    </xf>
    <xf numFmtId="180" fontId="13" fillId="0" borderId="1" xfId="176" applyNumberFormat="1" applyFont="1" applyBorder="1" applyAlignment="1">
      <alignment horizontal="right" vertical="center"/>
    </xf>
    <xf numFmtId="0" fontId="15" fillId="0" borderId="1" xfId="129" applyNumberFormat="1" applyFont="1" applyBorder="1" applyAlignment="1">
      <alignment horizontal="left" vertical="center" wrapText="1" indent="1"/>
    </xf>
    <xf numFmtId="180" fontId="14" fillId="0" borderId="1" xfId="129" applyNumberFormat="1" applyFont="1" applyFill="1" applyBorder="1" applyAlignment="1">
      <alignment horizontal="right" vertical="center" shrinkToFit="1"/>
    </xf>
    <xf numFmtId="180" fontId="14" fillId="0" borderId="1" xfId="0" applyNumberFormat="1" applyFont="1" applyFill="1" applyBorder="1" applyAlignment="1" applyProtection="1">
      <alignment horizontal="right" vertical="center"/>
    </xf>
    <xf numFmtId="180" fontId="14" fillId="0" borderId="1" xfId="105" applyNumberFormat="1" applyFont="1" applyFill="1" applyBorder="1" applyAlignment="1">
      <alignment horizontal="right" vertical="center"/>
    </xf>
    <xf numFmtId="0" fontId="0" fillId="0" borderId="1" xfId="105" applyBorder="1">
      <alignment vertical="center"/>
    </xf>
    <xf numFmtId="0" fontId="0" fillId="0" borderId="1" xfId="105" applyBorder="1" applyAlignment="1">
      <alignment horizontal="right" vertical="center"/>
    </xf>
    <xf numFmtId="0" fontId="15" fillId="0" borderId="0" xfId="105" applyFont="1">
      <alignment vertical="center"/>
    </xf>
    <xf numFmtId="0" fontId="15" fillId="0" borderId="0" xfId="105" applyFont="1" applyAlignment="1">
      <alignment horizontal="right" vertical="center"/>
    </xf>
    <xf numFmtId="0" fontId="1" fillId="0" borderId="0" xfId="0" applyFont="1" applyFill="1" applyBorder="1" applyAlignment="1"/>
    <xf numFmtId="0" fontId="18" fillId="0" borderId="0" xfId="0" applyFont="1" applyFill="1" applyBorder="1" applyAlignment="1">
      <alignment horizontal="center" vertical="center"/>
    </xf>
    <xf numFmtId="180" fontId="18" fillId="0" borderId="0" xfId="0" applyNumberFormat="1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/>
    </xf>
    <xf numFmtId="180" fontId="18" fillId="0" borderId="0" xfId="0" applyNumberFormat="1" applyFont="1" applyFill="1" applyBorder="1" applyAlignment="1">
      <alignment horizontal="right" vertical="center"/>
    </xf>
    <xf numFmtId="180" fontId="0" fillId="0" borderId="0" xfId="0" applyNumberFormat="1" applyFont="1" applyFill="1" applyBorder="1" applyAlignment="1">
      <alignment horizontal="center"/>
    </xf>
    <xf numFmtId="0" fontId="13" fillId="0" borderId="1" xfId="0" applyFont="1" applyFill="1" applyBorder="1" applyAlignment="1">
      <alignment horizontal="center" vertical="center" wrapText="1"/>
    </xf>
    <xf numFmtId="180" fontId="13" fillId="0" borderId="1" xfId="0" applyNumberFormat="1" applyFont="1" applyFill="1" applyBorder="1" applyAlignment="1">
      <alignment horizontal="center" vertical="center" wrapText="1"/>
    </xf>
    <xf numFmtId="180" fontId="13" fillId="0" borderId="1" xfId="0" applyNumberFormat="1" applyFont="1" applyFill="1" applyBorder="1" applyAlignment="1">
      <alignment vertical="center" wrapText="1"/>
    </xf>
    <xf numFmtId="0" fontId="19" fillId="0" borderId="1" xfId="0" applyFont="1" applyFill="1" applyBorder="1" applyAlignment="1">
      <alignment wrapText="1"/>
    </xf>
    <xf numFmtId="180" fontId="14" fillId="0" borderId="1" xfId="0" applyNumberFormat="1" applyFont="1" applyFill="1" applyBorder="1" applyAlignment="1">
      <alignment horizontal="right" vertical="center" wrapText="1"/>
    </xf>
    <xf numFmtId="183" fontId="15" fillId="0" borderId="1" xfId="0" applyNumberFormat="1" applyFont="1" applyFill="1" applyBorder="1" applyAlignment="1">
      <alignment horizontal="right" vertical="center" wrapText="1"/>
    </xf>
    <xf numFmtId="0" fontId="14" fillId="0" borderId="1" xfId="0" applyFont="1" applyFill="1" applyBorder="1" applyAlignment="1">
      <alignment horizontal="left" vertical="center" wrapText="1"/>
    </xf>
    <xf numFmtId="183" fontId="14" fillId="0" borderId="0" xfId="0" applyNumberFormat="1" applyFont="1" applyFill="1" applyBorder="1" applyAlignment="1">
      <alignment horizontal="right" vertical="center" wrapText="1"/>
    </xf>
    <xf numFmtId="0" fontId="14" fillId="0" borderId="1" xfId="153" applyNumberFormat="1" applyFont="1" applyFill="1" applyBorder="1" applyAlignment="1" applyProtection="1">
      <alignment horizontal="left" vertical="center" wrapText="1"/>
    </xf>
    <xf numFmtId="180" fontId="14" fillId="0" borderId="1" xfId="153" applyNumberFormat="1" applyFont="1" applyFill="1" applyBorder="1" applyAlignment="1" applyProtection="1">
      <alignment horizontal="right" vertical="center"/>
    </xf>
    <xf numFmtId="183" fontId="20" fillId="0" borderId="0" xfId="0" applyNumberFormat="1" applyFont="1" applyFill="1" applyBorder="1" applyAlignment="1">
      <alignment horizontal="right" wrapText="1"/>
    </xf>
    <xf numFmtId="180" fontId="14" fillId="0" borderId="1" xfId="0" applyNumberFormat="1" applyFont="1" applyBorder="1">
      <alignment vertical="center"/>
    </xf>
    <xf numFmtId="3" fontId="14" fillId="0" borderId="1" xfId="153" applyNumberFormat="1" applyFont="1" applyFill="1" applyBorder="1" applyAlignment="1" applyProtection="1">
      <alignment horizontal="right" vertical="center"/>
    </xf>
    <xf numFmtId="180" fontId="14" fillId="0" borderId="0" xfId="0" applyNumberFormat="1" applyFont="1">
      <alignment vertical="center"/>
    </xf>
    <xf numFmtId="0" fontId="14" fillId="0" borderId="0" xfId="0" applyFont="1" applyAlignment="1">
      <alignment horizontal="right" vertical="center"/>
    </xf>
    <xf numFmtId="0" fontId="0" fillId="0" borderId="0" xfId="0" applyFont="1" applyFill="1" applyBorder="1" applyAlignment="1">
      <alignment horizontal="center"/>
    </xf>
    <xf numFmtId="180" fontId="21" fillId="0" borderId="1" xfId="0" applyNumberFormat="1" applyFont="1" applyFill="1" applyBorder="1" applyAlignment="1">
      <alignment horizontal="center" vertical="center" wrapText="1"/>
    </xf>
    <xf numFmtId="180" fontId="21" fillId="0" borderId="2" xfId="0" applyNumberFormat="1" applyFont="1" applyFill="1" applyBorder="1" applyAlignment="1">
      <alignment horizontal="center" vertical="center" wrapText="1"/>
    </xf>
    <xf numFmtId="0" fontId="22" fillId="0" borderId="1" xfId="0" applyFont="1" applyBorder="1">
      <alignment vertical="center"/>
    </xf>
    <xf numFmtId="180" fontId="21" fillId="0" borderId="4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vertical="center" wrapText="1"/>
    </xf>
    <xf numFmtId="183" fontId="15" fillId="0" borderId="5" xfId="0" applyNumberFormat="1" applyFont="1" applyFill="1" applyBorder="1" applyAlignment="1">
      <alignment horizontal="right" vertical="center" wrapText="1"/>
    </xf>
    <xf numFmtId="180" fontId="23" fillId="0" borderId="1" xfId="0" applyNumberFormat="1" applyFont="1" applyFill="1" applyBorder="1" applyAlignment="1">
      <alignment horizontal="right" vertical="center" wrapText="1"/>
    </xf>
    <xf numFmtId="10" fontId="14" fillId="0" borderId="1" xfId="0" applyNumberFormat="1" applyFont="1" applyFill="1" applyBorder="1" applyAlignment="1">
      <alignment horizontal="right" vertical="center" wrapText="1"/>
    </xf>
    <xf numFmtId="183" fontId="14" fillId="0" borderId="5" xfId="0" applyNumberFormat="1" applyFont="1" applyFill="1" applyBorder="1" applyAlignment="1">
      <alignment horizontal="right" vertical="center" wrapText="1"/>
    </xf>
    <xf numFmtId="3" fontId="14" fillId="0" borderId="5" xfId="153" applyNumberFormat="1" applyFont="1" applyFill="1" applyBorder="1" applyAlignment="1" applyProtection="1">
      <alignment horizontal="right" vertical="center"/>
    </xf>
    <xf numFmtId="180" fontId="23" fillId="0" borderId="1" xfId="0" applyNumberFormat="1" applyFont="1" applyFill="1" applyBorder="1">
      <alignment vertical="center"/>
    </xf>
    <xf numFmtId="180" fontId="23" fillId="0" borderId="1" xfId="0" applyNumberFormat="1" applyFont="1" applyFill="1" applyBorder="1" applyAlignment="1">
      <alignment horizontal="right" vertical="center"/>
    </xf>
    <xf numFmtId="0" fontId="14" fillId="0" borderId="0" xfId="0" applyFont="1">
      <alignment vertical="center"/>
    </xf>
    <xf numFmtId="180" fontId="23" fillId="0" borderId="0" xfId="0" applyNumberFormat="1" applyFont="1" applyFill="1">
      <alignment vertical="center"/>
    </xf>
    <xf numFmtId="180" fontId="14" fillId="0" borderId="2" xfId="153" applyNumberFormat="1" applyFont="1" applyFill="1" applyBorder="1" applyAlignment="1" applyProtection="1">
      <alignment horizontal="right" vertical="center"/>
    </xf>
    <xf numFmtId="0" fontId="14" fillId="0" borderId="1" xfId="0" applyFont="1" applyBorder="1" applyAlignment="1">
      <alignment horizontal="right" vertical="center"/>
    </xf>
    <xf numFmtId="180" fontId="14" fillId="0" borderId="2" xfId="0" applyNumberFormat="1" applyFont="1" applyFill="1" applyBorder="1" applyAlignment="1">
      <alignment horizontal="right" vertical="center" wrapText="1"/>
    </xf>
    <xf numFmtId="0" fontId="24" fillId="0" borderId="0" xfId="0" applyFont="1" applyFill="1" applyBorder="1" applyAlignment="1">
      <alignment vertical="center"/>
    </xf>
    <xf numFmtId="0" fontId="25" fillId="0" borderId="0" xfId="0" applyFont="1" applyFill="1" applyBorder="1" applyAlignment="1">
      <alignment vertical="center"/>
    </xf>
    <xf numFmtId="180" fontId="26" fillId="0" borderId="0" xfId="0" applyNumberFormat="1" applyFont="1" applyFill="1" applyBorder="1" applyAlignment="1">
      <alignment vertical="center"/>
    </xf>
    <xf numFmtId="180" fontId="26" fillId="0" borderId="0" xfId="0" applyNumberFormat="1" applyFont="1" applyFill="1" applyBorder="1" applyAlignment="1">
      <alignment vertical="center" wrapText="1"/>
    </xf>
    <xf numFmtId="10" fontId="27" fillId="0" borderId="0" xfId="0" applyNumberFormat="1" applyFont="1" applyFill="1" applyBorder="1" applyAlignment="1">
      <alignment vertical="center" wrapText="1"/>
    </xf>
    <xf numFmtId="180" fontId="27" fillId="0" borderId="0" xfId="0" applyNumberFormat="1" applyFont="1" applyFill="1" applyBorder="1" applyAlignment="1">
      <alignment vertical="center" wrapText="1"/>
    </xf>
    <xf numFmtId="0" fontId="28" fillId="0" borderId="0" xfId="0" applyFont="1" applyFill="1" applyBorder="1" applyAlignment="1">
      <alignment horizontal="center" vertical="center"/>
    </xf>
    <xf numFmtId="0" fontId="29" fillId="0" borderId="0" xfId="0" applyFont="1" applyFill="1" applyBorder="1" applyAlignment="1">
      <alignment vertical="center"/>
    </xf>
    <xf numFmtId="180" fontId="27" fillId="0" borderId="0" xfId="0" applyNumberFormat="1" applyFont="1" applyFill="1" applyBorder="1" applyAlignment="1">
      <alignment vertical="center"/>
    </xf>
    <xf numFmtId="180" fontId="0" fillId="0" borderId="0" xfId="0" applyNumberFormat="1" applyFont="1" applyFill="1" applyBorder="1" applyAlignment="1">
      <alignment horizontal="center" vertical="center" wrapText="1"/>
    </xf>
    <xf numFmtId="10" fontId="30" fillId="0" borderId="0" xfId="0" applyNumberFormat="1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vertical="center"/>
    </xf>
    <xf numFmtId="0" fontId="31" fillId="0" borderId="1" xfId="0" applyFont="1" applyFill="1" applyBorder="1" applyAlignment="1">
      <alignment horizontal="center" vertical="center"/>
    </xf>
    <xf numFmtId="180" fontId="13" fillId="0" borderId="1" xfId="0" applyNumberFormat="1" applyFont="1" applyFill="1" applyBorder="1" applyAlignment="1">
      <alignment horizontal="center" vertical="center"/>
    </xf>
    <xf numFmtId="10" fontId="13" fillId="0" borderId="1" xfId="0" applyNumberFormat="1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left" vertical="center"/>
    </xf>
    <xf numFmtId="0" fontId="31" fillId="0" borderId="1" xfId="0" applyFont="1" applyFill="1" applyBorder="1" applyAlignment="1">
      <alignment vertical="center" wrapText="1"/>
    </xf>
    <xf numFmtId="180" fontId="14" fillId="0" borderId="1" xfId="0" applyNumberFormat="1" applyFont="1" applyFill="1" applyBorder="1" applyAlignment="1">
      <alignment vertical="center" wrapText="1"/>
    </xf>
    <xf numFmtId="10" fontId="14" fillId="0" borderId="1" xfId="0" applyNumberFormat="1" applyFont="1" applyFill="1" applyBorder="1" applyAlignment="1">
      <alignment vertical="center" wrapText="1"/>
    </xf>
    <xf numFmtId="0" fontId="14" fillId="0" borderId="1" xfId="160" applyNumberFormat="1" applyFont="1" applyFill="1" applyBorder="1" applyAlignment="1" applyProtection="1">
      <alignment horizontal="left" vertical="center"/>
    </xf>
    <xf numFmtId="0" fontId="32" fillId="0" borderId="1" xfId="0" applyFont="1" applyFill="1" applyBorder="1" applyAlignment="1">
      <alignment vertical="center" wrapText="1"/>
    </xf>
    <xf numFmtId="180" fontId="14" fillId="0" borderId="1" xfId="154" applyNumberFormat="1" applyFont="1" applyFill="1" applyBorder="1" applyAlignment="1">
      <alignment horizontal="right" vertical="center" wrapText="1" shrinkToFit="1"/>
    </xf>
    <xf numFmtId="180" fontId="14" fillId="0" borderId="1" xfId="0" applyNumberFormat="1" applyFont="1" applyFill="1" applyBorder="1" applyAlignment="1">
      <alignment horizontal="right" vertical="center" wrapText="1" shrinkToFit="1"/>
    </xf>
    <xf numFmtId="0" fontId="14" fillId="0" borderId="1" xfId="0" applyFont="1" applyFill="1" applyBorder="1" applyAlignment="1">
      <alignment vertical="center" wrapText="1"/>
    </xf>
    <xf numFmtId="0" fontId="25" fillId="0" borderId="0" xfId="0" applyFont="1" applyFill="1" applyBorder="1" applyAlignment="1">
      <alignment horizontal="right" vertical="center" wrapText="1"/>
    </xf>
    <xf numFmtId="0" fontId="33" fillId="0" borderId="0" xfId="0" applyFont="1" applyFill="1" applyBorder="1" applyAlignment="1">
      <alignment horizontal="center" vertical="center"/>
    </xf>
    <xf numFmtId="10" fontId="34" fillId="0" borderId="0" xfId="0" applyNumberFormat="1" applyFont="1" applyFill="1" applyBorder="1" applyAlignment="1">
      <alignment horizontal="right" vertical="center" wrapText="1"/>
    </xf>
    <xf numFmtId="10" fontId="32" fillId="0" borderId="0" xfId="0" applyNumberFormat="1" applyFont="1" applyFill="1" applyBorder="1" applyAlignment="1">
      <alignment horizontal="center" vertical="center" wrapText="1"/>
    </xf>
    <xf numFmtId="10" fontId="32" fillId="0" borderId="0" xfId="0" applyNumberFormat="1" applyFont="1" applyFill="1" applyBorder="1" applyAlignment="1">
      <alignment vertical="center" wrapText="1"/>
    </xf>
    <xf numFmtId="10" fontId="14" fillId="0" borderId="0" xfId="0" applyNumberFormat="1" applyFont="1" applyFill="1" applyBorder="1" applyAlignment="1">
      <alignment vertical="center" wrapText="1"/>
    </xf>
    <xf numFmtId="180" fontId="14" fillId="0" borderId="0" xfId="105" applyNumberFormat="1" applyFont="1" applyAlignment="1">
      <alignment horizontal="center" vertical="center" wrapText="1"/>
    </xf>
    <xf numFmtId="0" fontId="0" fillId="0" borderId="0" xfId="176" applyFont="1" applyBorder="1" applyAlignment="1">
      <alignment horizontal="right" vertical="center"/>
    </xf>
    <xf numFmtId="180" fontId="4" fillId="0" borderId="0" xfId="176" applyNumberFormat="1" applyFont="1" applyBorder="1" applyAlignment="1">
      <alignment horizontal="right" vertical="center"/>
    </xf>
    <xf numFmtId="180" fontId="13" fillId="0" borderId="1" xfId="176" applyNumberFormat="1" applyFont="1" applyBorder="1" applyAlignment="1">
      <alignment horizontal="center" vertical="center"/>
    </xf>
    <xf numFmtId="0" fontId="13" fillId="0" borderId="1" xfId="129" applyFont="1" applyBorder="1" applyAlignment="1">
      <alignment horizontal="center" vertical="center"/>
    </xf>
    <xf numFmtId="180" fontId="13" fillId="0" borderId="1" xfId="129" applyNumberFormat="1" applyFont="1" applyBorder="1" applyAlignment="1">
      <alignment horizontal="right" vertical="center" shrinkToFit="1"/>
    </xf>
    <xf numFmtId="0" fontId="13" fillId="0" borderId="1" xfId="129" applyFont="1" applyBorder="1" applyAlignment="1">
      <alignment horizontal="left" vertical="center"/>
    </xf>
    <xf numFmtId="0" fontId="14" fillId="0" borderId="1" xfId="129" applyNumberFormat="1" applyFont="1" applyBorder="1" applyAlignment="1">
      <alignment horizontal="left" vertical="center" indent="1" shrinkToFit="1"/>
    </xf>
    <xf numFmtId="180" fontId="14" fillId="0" borderId="1" xfId="176" applyNumberFormat="1" applyFont="1" applyFill="1" applyBorder="1" applyAlignment="1">
      <alignment horizontal="right" vertical="center" shrinkToFit="1"/>
    </xf>
    <xf numFmtId="0" fontId="13" fillId="0" borderId="1" xfId="129" applyFont="1" applyBorder="1" applyAlignment="1">
      <alignment horizontal="left" vertical="center" shrinkToFit="1"/>
    </xf>
    <xf numFmtId="180" fontId="13" fillId="0" borderId="1" xfId="176" applyNumberFormat="1" applyFont="1" applyFill="1" applyBorder="1" applyAlignment="1">
      <alignment horizontal="right" vertical="center" shrinkToFit="1"/>
    </xf>
    <xf numFmtId="0" fontId="14" fillId="0" borderId="1" xfId="129" applyNumberFormat="1" applyFont="1" applyBorder="1" applyAlignment="1">
      <alignment horizontal="left" vertical="center" wrapText="1" indent="1"/>
    </xf>
    <xf numFmtId="0" fontId="14" fillId="0" borderId="1" xfId="129" applyNumberFormat="1" applyFont="1" applyFill="1" applyBorder="1" applyAlignment="1">
      <alignment horizontal="left" vertical="center" wrapText="1" indent="1"/>
    </xf>
    <xf numFmtId="0" fontId="14" fillId="0" borderId="1" xfId="0" applyNumberFormat="1" applyFont="1" applyFill="1" applyBorder="1" applyAlignment="1" applyProtection="1">
      <alignment vertical="center"/>
    </xf>
    <xf numFmtId="183" fontId="13" fillId="0" borderId="1" xfId="129" applyNumberFormat="1" applyFont="1" applyBorder="1" applyAlignment="1">
      <alignment vertical="center"/>
    </xf>
    <xf numFmtId="180" fontId="13" fillId="0" borderId="1" xfId="129" applyNumberFormat="1" applyFont="1" applyBorder="1" applyAlignment="1">
      <alignment vertical="center" shrinkToFit="1"/>
    </xf>
    <xf numFmtId="0" fontId="14" fillId="0" borderId="0" xfId="129" applyNumberFormat="1" applyFont="1" applyBorder="1" applyAlignment="1">
      <alignment horizontal="left" vertical="center" wrapText="1" indent="1"/>
    </xf>
    <xf numFmtId="180" fontId="14" fillId="0" borderId="0" xfId="105" applyNumberFormat="1" applyFont="1">
      <alignment vertical="center"/>
    </xf>
    <xf numFmtId="0" fontId="35" fillId="0" borderId="0" xfId="0" applyFont="1" applyFill="1" applyBorder="1" applyAlignment="1">
      <alignment horizontal="left" vertical="center"/>
    </xf>
    <xf numFmtId="0" fontId="35" fillId="0" borderId="0" xfId="0" applyFont="1" applyFill="1" applyBorder="1" applyAlignment="1">
      <alignment horizontal="center" vertical="center"/>
    </xf>
    <xf numFmtId="180" fontId="0" fillId="0" borderId="9" xfId="0" applyNumberFormat="1" applyFont="1" applyFill="1" applyBorder="1" applyAlignment="1">
      <alignment vertical="center"/>
    </xf>
    <xf numFmtId="0" fontId="13" fillId="0" borderId="1" xfId="0" applyNumberFormat="1" applyFont="1" applyFill="1" applyBorder="1" applyAlignment="1" applyProtection="1">
      <alignment horizontal="center" vertical="center" wrapText="1"/>
    </xf>
    <xf numFmtId="180" fontId="13" fillId="0" borderId="2" xfId="0" applyNumberFormat="1" applyFont="1" applyFill="1" applyBorder="1" applyAlignment="1" applyProtection="1">
      <alignment horizontal="center" vertical="center" wrapText="1"/>
    </xf>
    <xf numFmtId="0" fontId="13" fillId="0" borderId="2" xfId="0" applyNumberFormat="1" applyFont="1" applyFill="1" applyBorder="1" applyAlignment="1" applyProtection="1">
      <alignment horizontal="center" vertical="center" wrapText="1"/>
    </xf>
    <xf numFmtId="180" fontId="13" fillId="0" borderId="4" xfId="0" applyNumberFormat="1" applyFont="1" applyFill="1" applyBorder="1" applyAlignment="1" applyProtection="1">
      <alignment horizontal="center" vertical="center" wrapText="1"/>
    </xf>
    <xf numFmtId="0" fontId="14" fillId="0" borderId="1" xfId="0" applyFont="1" applyBorder="1">
      <alignment vertical="center"/>
    </xf>
    <xf numFmtId="0" fontId="13" fillId="0" borderId="1" xfId="0" applyNumberFormat="1" applyFont="1" applyFill="1" applyBorder="1" applyAlignment="1" applyProtection="1">
      <alignment horizontal="center" vertical="center"/>
    </xf>
    <xf numFmtId="0" fontId="13" fillId="0" borderId="1" xfId="0" applyNumberFormat="1" applyFont="1" applyFill="1" applyBorder="1" applyAlignment="1" applyProtection="1">
      <alignment horizontal="left" vertical="center"/>
    </xf>
    <xf numFmtId="0" fontId="14" fillId="0" borderId="1" xfId="0" applyNumberFormat="1" applyFont="1" applyFill="1" applyBorder="1" applyAlignment="1" applyProtection="1">
      <alignment horizontal="left" vertical="center"/>
    </xf>
    <xf numFmtId="0" fontId="18" fillId="0" borderId="0" xfId="0" applyFont="1" applyFill="1" applyBorder="1" applyAlignment="1">
      <alignment horizontal="center" vertical="center" wrapText="1"/>
    </xf>
    <xf numFmtId="181" fontId="18" fillId="0" borderId="0" xfId="0" applyNumberFormat="1" applyFont="1" applyFill="1" applyBorder="1" applyAlignment="1">
      <alignment horizontal="center" vertical="center" wrapText="1"/>
    </xf>
    <xf numFmtId="181" fontId="35" fillId="0" borderId="0" xfId="0" applyNumberFormat="1" applyFont="1" applyFill="1" applyBorder="1" applyAlignment="1">
      <alignment vertical="center"/>
    </xf>
    <xf numFmtId="181" fontId="0" fillId="0" borderId="9" xfId="0" applyNumberFormat="1" applyFont="1" applyFill="1" applyBorder="1" applyAlignment="1">
      <alignment vertical="center"/>
    </xf>
    <xf numFmtId="181" fontId="13" fillId="0" borderId="5" xfId="0" applyNumberFormat="1" applyFont="1" applyFill="1" applyBorder="1" applyAlignment="1" applyProtection="1">
      <alignment horizontal="center" vertical="center" wrapText="1"/>
    </xf>
    <xf numFmtId="181" fontId="13" fillId="0" borderId="2" xfId="0" applyNumberFormat="1" applyFont="1" applyFill="1" applyBorder="1" applyAlignment="1" applyProtection="1">
      <alignment horizontal="center" vertical="center" wrapText="1"/>
    </xf>
    <xf numFmtId="181" fontId="13" fillId="0" borderId="4" xfId="0" applyNumberFormat="1" applyFont="1" applyFill="1" applyBorder="1" applyAlignment="1" applyProtection="1">
      <alignment horizontal="center" vertical="center" wrapText="1"/>
    </xf>
    <xf numFmtId="0" fontId="36" fillId="0" borderId="0" xfId="0" applyFont="1" applyFill="1" applyAlignment="1">
      <alignment horizontal="left" vertical="center"/>
    </xf>
    <xf numFmtId="0" fontId="37" fillId="0" borderId="0" xfId="0" applyFont="1">
      <alignment vertical="center"/>
    </xf>
    <xf numFmtId="180" fontId="37" fillId="0" borderId="0" xfId="0" applyNumberFormat="1" applyFont="1" applyAlignment="1">
      <alignment horizontal="right" vertical="center"/>
    </xf>
    <xf numFmtId="10" fontId="37" fillId="0" borderId="0" xfId="0" applyNumberFormat="1" applyFont="1" applyAlignment="1">
      <alignment horizontal="right" vertical="center"/>
    </xf>
    <xf numFmtId="0" fontId="38" fillId="0" borderId="0" xfId="0" applyFont="1" applyFill="1" applyAlignment="1">
      <alignment horizontal="center" vertical="center"/>
    </xf>
    <xf numFmtId="180" fontId="38" fillId="0" borderId="0" xfId="0" applyNumberFormat="1" applyFont="1" applyFill="1" applyAlignment="1">
      <alignment horizontal="right" vertical="center"/>
    </xf>
    <xf numFmtId="10" fontId="38" fillId="0" borderId="0" xfId="0" applyNumberFormat="1" applyFont="1" applyFill="1" applyAlignment="1">
      <alignment horizontal="right" vertical="center"/>
    </xf>
    <xf numFmtId="0" fontId="39" fillId="0" borderId="5" xfId="0" applyFont="1" applyBorder="1" applyAlignment="1">
      <alignment horizontal="center" vertical="center"/>
    </xf>
    <xf numFmtId="0" fontId="39" fillId="0" borderId="7" xfId="0" applyFont="1" applyBorder="1">
      <alignment vertical="center"/>
    </xf>
    <xf numFmtId="180" fontId="39" fillId="0" borderId="1" xfId="0" applyNumberFormat="1" applyFont="1" applyBorder="1" applyAlignment="1">
      <alignment horizontal="center" vertical="center"/>
    </xf>
    <xf numFmtId="180" fontId="39" fillId="0" borderId="1" xfId="0" applyNumberFormat="1" applyFont="1" applyFill="1" applyBorder="1" applyAlignment="1">
      <alignment horizontal="center" vertical="center"/>
    </xf>
    <xf numFmtId="10" fontId="39" fillId="0" borderId="1" xfId="0" applyNumberFormat="1" applyFont="1" applyFill="1" applyBorder="1" applyAlignment="1">
      <alignment horizontal="center" vertical="center"/>
    </xf>
    <xf numFmtId="49" fontId="39" fillId="0" borderId="2" xfId="0" applyNumberFormat="1" applyFont="1" applyFill="1" applyBorder="1" applyAlignment="1">
      <alignment horizontal="left" vertical="center" wrapText="1"/>
    </xf>
    <xf numFmtId="49" fontId="39" fillId="0" borderId="2" xfId="0" applyNumberFormat="1" applyFont="1" applyFill="1" applyBorder="1" applyAlignment="1">
      <alignment horizontal="center" vertical="center" wrapText="1"/>
    </xf>
    <xf numFmtId="180" fontId="39" fillId="0" borderId="1" xfId="0" applyNumberFormat="1" applyFont="1" applyFill="1" applyBorder="1" applyAlignment="1">
      <alignment horizontal="center" vertical="center" wrapText="1"/>
    </xf>
    <xf numFmtId="10" fontId="39" fillId="0" borderId="1" xfId="0" applyNumberFormat="1" applyFont="1" applyFill="1" applyBorder="1" applyAlignment="1">
      <alignment horizontal="center" vertical="center" wrapText="1"/>
    </xf>
    <xf numFmtId="49" fontId="39" fillId="0" borderId="4" xfId="0" applyNumberFormat="1" applyFont="1" applyFill="1" applyBorder="1" applyAlignment="1">
      <alignment horizontal="left" vertical="center" wrapText="1"/>
    </xf>
    <xf numFmtId="49" fontId="39" fillId="0" borderId="4" xfId="0" applyNumberFormat="1" applyFont="1" applyFill="1" applyBorder="1" applyAlignment="1">
      <alignment horizontal="center" vertical="center" wrapText="1"/>
    </xf>
    <xf numFmtId="0" fontId="39" fillId="0" borderId="5" xfId="0" applyFont="1" applyFill="1" applyBorder="1" applyAlignment="1">
      <alignment horizontal="center" vertical="center"/>
    </xf>
    <xf numFmtId="0" fontId="39" fillId="0" borderId="7" xfId="0" applyFont="1" applyFill="1" applyBorder="1" applyAlignment="1">
      <alignment horizontal="center" vertical="center"/>
    </xf>
    <xf numFmtId="180" fontId="37" fillId="0" borderId="1" xfId="0" applyNumberFormat="1" applyFont="1" applyFill="1" applyBorder="1" applyAlignment="1">
      <alignment horizontal="right" vertical="center"/>
    </xf>
    <xf numFmtId="10" fontId="37" fillId="0" borderId="1" xfId="0" applyNumberFormat="1" applyFont="1" applyFill="1" applyBorder="1" applyAlignment="1">
      <alignment horizontal="right" vertical="center"/>
    </xf>
    <xf numFmtId="184" fontId="37" fillId="0" borderId="1" xfId="0" applyNumberFormat="1" applyFont="1" applyFill="1" applyBorder="1" applyAlignment="1">
      <alignment horizontal="left" vertical="center"/>
    </xf>
    <xf numFmtId="0" fontId="37" fillId="0" borderId="1" xfId="0" applyFont="1" applyFill="1" applyBorder="1" applyAlignment="1">
      <alignment vertical="center" wrapText="1"/>
    </xf>
    <xf numFmtId="180" fontId="37" fillId="0" borderId="1" xfId="0" applyNumberFormat="1" applyFont="1" applyFill="1" applyBorder="1" applyAlignment="1" applyProtection="1">
      <alignment horizontal="right" vertical="center"/>
    </xf>
    <xf numFmtId="180" fontId="37" fillId="0" borderId="1" xfId="0" applyNumberFormat="1" applyFont="1" applyBorder="1" applyAlignment="1">
      <alignment horizontal="right" vertical="center"/>
    </xf>
    <xf numFmtId="0" fontId="37" fillId="0" borderId="1" xfId="0" applyNumberFormat="1" applyFont="1" applyFill="1" applyBorder="1" applyAlignment="1">
      <alignment horizontal="left" vertical="center"/>
    </xf>
    <xf numFmtId="0" fontId="37" fillId="0" borderId="10" xfId="0" applyFont="1" applyFill="1" applyBorder="1" applyAlignment="1">
      <alignment horizontal="left" vertical="center" wrapText="1"/>
    </xf>
    <xf numFmtId="0" fontId="40" fillId="0" borderId="0" xfId="0" applyFont="1">
      <alignment vertical="center"/>
    </xf>
    <xf numFmtId="180" fontId="37" fillId="0" borderId="0" xfId="0" applyNumberFormat="1" applyFont="1" applyFill="1" applyAlignment="1">
      <alignment horizontal="right" vertical="center"/>
    </xf>
    <xf numFmtId="0" fontId="37" fillId="0" borderId="1" xfId="0" applyFont="1" applyBorder="1">
      <alignment vertical="center"/>
    </xf>
    <xf numFmtId="0" fontId="37" fillId="0" borderId="2" xfId="0" applyFont="1" applyBorder="1" applyAlignment="1">
      <alignment horizontal="center" vertical="center"/>
    </xf>
    <xf numFmtId="0" fontId="37" fillId="0" borderId="4" xfId="0" applyFont="1" applyBorder="1">
      <alignment vertical="center"/>
    </xf>
    <xf numFmtId="0" fontId="37" fillId="0" borderId="1" xfId="0" applyFont="1" applyBorder="1" applyAlignment="1">
      <alignment horizontal="center" vertical="top" wrapText="1"/>
    </xf>
    <xf numFmtId="0" fontId="37" fillId="0" borderId="1" xfId="0" applyFont="1" applyBorder="1" applyAlignment="1">
      <alignment vertical="center" wrapText="1"/>
    </xf>
    <xf numFmtId="0" fontId="37" fillId="0" borderId="1" xfId="0" applyFont="1" applyFill="1" applyBorder="1" applyAlignment="1">
      <alignment horizontal="left" vertical="center"/>
    </xf>
    <xf numFmtId="0" fontId="37" fillId="0" borderId="1" xfId="0" applyFont="1" applyFill="1" applyBorder="1">
      <alignment vertical="center"/>
    </xf>
    <xf numFmtId="0" fontId="37" fillId="0" borderId="10" xfId="0" applyFont="1" applyFill="1" applyBorder="1" applyAlignment="1">
      <alignment horizontal="center" vertical="center" wrapText="1"/>
    </xf>
    <xf numFmtId="0" fontId="24" fillId="0" borderId="0" xfId="0" applyFont="1" applyFill="1" applyBorder="1" applyAlignment="1"/>
    <xf numFmtId="180" fontId="0" fillId="0" borderId="0" xfId="0" applyNumberFormat="1" applyFont="1">
      <alignment vertical="center"/>
    </xf>
    <xf numFmtId="10" fontId="18" fillId="0" borderId="0" xfId="30" applyNumberFormat="1" applyFont="1" applyFill="1" applyBorder="1" applyAlignment="1">
      <alignment horizontal="center" vertical="center"/>
    </xf>
    <xf numFmtId="180" fontId="7" fillId="0" borderId="0" xfId="0" applyNumberFormat="1" applyFont="1" applyFill="1" applyBorder="1" applyAlignment="1">
      <alignment horizontal="center" vertical="center"/>
    </xf>
    <xf numFmtId="10" fontId="0" fillId="0" borderId="9" xfId="30" applyNumberFormat="1" applyFont="1" applyFill="1" applyBorder="1" applyAlignment="1">
      <alignment horizontal="right" vertical="center"/>
    </xf>
    <xf numFmtId="180" fontId="0" fillId="0" borderId="9" xfId="0" applyNumberFormat="1" applyFont="1" applyFill="1" applyBorder="1" applyAlignment="1">
      <alignment horizontal="right" vertical="center"/>
    </xf>
    <xf numFmtId="0" fontId="31" fillId="0" borderId="1" xfId="0" applyFont="1" applyFill="1" applyBorder="1" applyAlignment="1">
      <alignment horizontal="center" vertical="center" wrapText="1"/>
    </xf>
    <xf numFmtId="10" fontId="13" fillId="0" borderId="1" xfId="30" applyNumberFormat="1" applyFont="1" applyFill="1" applyBorder="1" applyAlignment="1">
      <alignment horizontal="center" vertical="center" wrapText="1"/>
    </xf>
    <xf numFmtId="10" fontId="14" fillId="0" borderId="1" xfId="30" applyNumberFormat="1" applyFont="1" applyFill="1" applyBorder="1" applyAlignment="1">
      <alignment horizontal="right" vertical="center" wrapText="1"/>
    </xf>
    <xf numFmtId="0" fontId="32" fillId="0" borderId="1" xfId="0" applyFont="1" applyFill="1" applyBorder="1" applyAlignment="1">
      <alignment horizontal="left" vertical="center" wrapText="1"/>
    </xf>
    <xf numFmtId="0" fontId="37" fillId="0" borderId="1" xfId="163" applyFont="1" applyFill="1" applyBorder="1" applyAlignment="1" applyProtection="1">
      <alignment vertical="center" shrinkToFit="1"/>
      <protection locked="0"/>
    </xf>
    <xf numFmtId="180" fontId="14" fillId="0" borderId="1" xfId="172" applyNumberFormat="1" applyFont="1" applyFill="1" applyBorder="1" applyAlignment="1" applyProtection="1">
      <alignment horizontal="right" vertical="center" wrapText="1"/>
      <protection locked="0"/>
    </xf>
    <xf numFmtId="180" fontId="14" fillId="0" borderId="1" xfId="0" applyNumberFormat="1" applyFont="1" applyFill="1" applyBorder="1" applyAlignment="1" applyProtection="1">
      <alignment horizontal="right" vertical="center" wrapText="1"/>
    </xf>
    <xf numFmtId="0" fontId="37" fillId="0" borderId="1" xfId="163" applyFont="1" applyFill="1" applyBorder="1" applyAlignment="1" applyProtection="1">
      <alignment horizontal="left" vertical="center" shrinkToFit="1"/>
      <protection locked="0"/>
    </xf>
    <xf numFmtId="185" fontId="37" fillId="0" borderId="1" xfId="163" applyNumberFormat="1" applyFont="1" applyFill="1" applyBorder="1" applyAlignment="1" applyProtection="1">
      <alignment vertical="center" wrapText="1" shrinkToFit="1"/>
      <protection locked="0"/>
    </xf>
    <xf numFmtId="0" fontId="37" fillId="0" borderId="1" xfId="0" applyFont="1" applyFill="1" applyBorder="1" applyAlignment="1" applyProtection="1">
      <alignment vertical="center"/>
    </xf>
    <xf numFmtId="180" fontId="37" fillId="0" borderId="1" xfId="26" applyNumberFormat="1" applyFont="1" applyFill="1" applyBorder="1" applyAlignment="1" applyProtection="1">
      <alignment horizontal="right" vertical="center" wrapText="1"/>
      <protection locked="0"/>
    </xf>
    <xf numFmtId="0" fontId="27" fillId="0" borderId="0" xfId="0" applyFont="1" applyFill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7" fillId="0" borderId="0" xfId="0" applyNumberFormat="1" applyFont="1" applyFill="1" applyBorder="1" applyAlignment="1" applyProtection="1">
      <alignment vertical="center" shrinkToFit="1"/>
    </xf>
    <xf numFmtId="180" fontId="35" fillId="0" borderId="0" xfId="0" applyNumberFormat="1" applyFont="1" applyFill="1" applyBorder="1" applyAlignment="1">
      <alignment vertical="center"/>
    </xf>
    <xf numFmtId="0" fontId="35" fillId="0" borderId="0" xfId="0" applyFont="1" applyFill="1" applyBorder="1" applyAlignment="1">
      <alignment vertical="center"/>
    </xf>
    <xf numFmtId="0" fontId="0" fillId="0" borderId="9" xfId="0" applyFont="1" applyFill="1" applyBorder="1" applyAlignment="1">
      <alignment vertical="center"/>
    </xf>
    <xf numFmtId="180" fontId="13" fillId="0" borderId="1" xfId="0" applyNumberFormat="1" applyFont="1" applyFill="1" applyBorder="1" applyAlignment="1" applyProtection="1">
      <alignment horizontal="center" vertical="center" wrapText="1"/>
    </xf>
    <xf numFmtId="0" fontId="13" fillId="0" borderId="6" xfId="0" applyNumberFormat="1" applyFont="1" applyFill="1" applyBorder="1" applyAlignment="1" applyProtection="1">
      <alignment horizontal="center" vertical="center" wrapText="1"/>
    </xf>
    <xf numFmtId="0" fontId="13" fillId="0" borderId="7" xfId="0" applyNumberFormat="1" applyFont="1" applyFill="1" applyBorder="1" applyAlignment="1" applyProtection="1">
      <alignment horizontal="center" vertical="center" wrapText="1"/>
    </xf>
    <xf numFmtId="0" fontId="13" fillId="0" borderId="11" xfId="0" applyNumberFormat="1" applyFont="1" applyFill="1" applyBorder="1" applyAlignment="1" applyProtection="1">
      <alignment horizontal="center" vertical="center" wrapText="1"/>
    </xf>
    <xf numFmtId="0" fontId="13" fillId="0" borderId="3" xfId="0" applyNumberFormat="1" applyFont="1" applyFill="1" applyBorder="1" applyAlignment="1" applyProtection="1">
      <alignment horizontal="center" vertical="center" wrapText="1"/>
    </xf>
    <xf numFmtId="3" fontId="14" fillId="0" borderId="1" xfId="0" applyNumberFormat="1" applyFont="1" applyFill="1" applyBorder="1" applyAlignment="1" applyProtection="1">
      <alignment horizontal="right" vertical="center"/>
    </xf>
    <xf numFmtId="3" fontId="14" fillId="0" borderId="7" xfId="0" applyNumberFormat="1" applyFont="1" applyFill="1" applyBorder="1" applyAlignment="1" applyProtection="1">
      <alignment horizontal="right" vertical="center"/>
    </xf>
    <xf numFmtId="0" fontId="14" fillId="0" borderId="1" xfId="0" applyFont="1" applyFill="1" applyBorder="1">
      <alignment vertical="center"/>
    </xf>
    <xf numFmtId="180" fontId="14" fillId="0" borderId="1" xfId="0" applyNumberFormat="1" applyFont="1" applyFill="1" applyBorder="1">
      <alignment vertical="center"/>
    </xf>
    <xf numFmtId="184" fontId="1" fillId="0" borderId="0" xfId="0" applyNumberFormat="1" applyFont="1" applyFill="1" applyBorder="1" applyAlignment="1">
      <alignment horizontal="left"/>
    </xf>
    <xf numFmtId="184" fontId="18" fillId="0" borderId="0" xfId="0" applyNumberFormat="1" applyFont="1" applyFill="1" applyAlignment="1">
      <alignment horizontal="center" vertical="center"/>
    </xf>
    <xf numFmtId="184" fontId="35" fillId="0" borderId="0" xfId="0" applyNumberFormat="1" applyFont="1" applyFill="1" applyBorder="1" applyAlignment="1">
      <alignment horizontal="left" vertical="center"/>
    </xf>
    <xf numFmtId="180" fontId="35" fillId="0" borderId="0" xfId="0" applyNumberFormat="1" applyFont="1" applyFill="1" applyAlignment="1">
      <alignment horizontal="center" vertical="center"/>
    </xf>
    <xf numFmtId="10" fontId="35" fillId="0" borderId="0" xfId="0" applyNumberFormat="1" applyFont="1" applyFill="1" applyBorder="1" applyAlignment="1">
      <alignment vertical="center"/>
    </xf>
    <xf numFmtId="184" fontId="13" fillId="0" borderId="2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180" fontId="13" fillId="0" borderId="8" xfId="0" applyNumberFormat="1" applyFont="1" applyFill="1" applyBorder="1" applyAlignment="1">
      <alignment horizontal="center" vertical="center" wrapText="1"/>
    </xf>
    <xf numFmtId="180" fontId="13" fillId="0" borderId="12" xfId="0" applyNumberFormat="1" applyFont="1" applyFill="1" applyBorder="1" applyAlignment="1">
      <alignment horizontal="center" vertical="center" wrapText="1"/>
    </xf>
    <xf numFmtId="180" fontId="22" fillId="0" borderId="5" xfId="0" applyNumberFormat="1" applyFont="1" applyFill="1" applyBorder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180" fontId="22" fillId="0" borderId="6" xfId="0" applyNumberFormat="1" applyFont="1" applyFill="1" applyBorder="1" applyAlignment="1">
      <alignment horizontal="center" vertical="center"/>
    </xf>
    <xf numFmtId="184" fontId="13" fillId="0" borderId="4" xfId="0" applyNumberFormat="1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184" fontId="13" fillId="0" borderId="1" xfId="0" applyNumberFormat="1" applyFont="1" applyFill="1" applyBorder="1" applyAlignment="1">
      <alignment horizontal="center" vertical="center" wrapText="1"/>
    </xf>
    <xf numFmtId="180" fontId="41" fillId="0" borderId="1" xfId="0" applyNumberFormat="1" applyFont="1" applyFill="1" applyBorder="1" applyAlignment="1">
      <alignment vertical="center"/>
    </xf>
    <xf numFmtId="184" fontId="13" fillId="0" borderId="1" xfId="0" applyNumberFormat="1" applyFont="1" applyFill="1" applyBorder="1" applyAlignment="1" applyProtection="1">
      <alignment horizontal="left" vertical="center"/>
    </xf>
    <xf numFmtId="180" fontId="14" fillId="0" borderId="1" xfId="0" applyNumberFormat="1" applyFont="1" applyFill="1" applyBorder="1" applyAlignment="1">
      <alignment horizontal="right" vertical="center"/>
    </xf>
    <xf numFmtId="184" fontId="14" fillId="0" borderId="1" xfId="0" applyNumberFormat="1" applyFont="1" applyFill="1" applyBorder="1" applyAlignment="1" applyProtection="1">
      <alignment horizontal="left" vertical="center"/>
    </xf>
    <xf numFmtId="180" fontId="14" fillId="0" borderId="1" xfId="0" applyNumberFormat="1" applyFont="1" applyFill="1" applyBorder="1" applyAlignment="1">
      <alignment vertical="center"/>
    </xf>
    <xf numFmtId="181" fontId="0" fillId="0" borderId="0" xfId="0" applyNumberFormat="1" applyFont="1" applyFill="1">
      <alignment vertical="center"/>
    </xf>
    <xf numFmtId="181" fontId="14" fillId="0" borderId="1" xfId="0" applyNumberFormat="1" applyFont="1" applyFill="1" applyBorder="1">
      <alignment vertical="center"/>
    </xf>
    <xf numFmtId="181" fontId="0" fillId="0" borderId="0" xfId="0" applyNumberFormat="1" applyFont="1">
      <alignment vertical="center"/>
    </xf>
    <xf numFmtId="181" fontId="14" fillId="0" borderId="0" xfId="0" applyNumberFormat="1" applyFont="1">
      <alignment vertical="center"/>
    </xf>
    <xf numFmtId="181" fontId="14" fillId="0" borderId="1" xfId="0" applyNumberFormat="1" applyFont="1" applyBorder="1">
      <alignment vertical="center"/>
    </xf>
    <xf numFmtId="180" fontId="18" fillId="0" borderId="0" xfId="0" applyNumberFormat="1" applyFont="1" applyFill="1" applyAlignment="1">
      <alignment horizontal="center" vertical="center"/>
    </xf>
    <xf numFmtId="180" fontId="35" fillId="0" borderId="0" xfId="0" applyNumberFormat="1" applyFont="1" applyFill="1" applyAlignment="1">
      <alignment vertical="center"/>
    </xf>
    <xf numFmtId="0" fontId="0" fillId="0" borderId="0" xfId="0" applyFont="1" applyFill="1" applyBorder="1" applyAlignment="1">
      <alignment vertical="center"/>
    </xf>
    <xf numFmtId="180" fontId="22" fillId="0" borderId="7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10" fontId="41" fillId="0" borderId="1" xfId="0" applyNumberFormat="1" applyFont="1" applyFill="1" applyBorder="1" applyAlignment="1">
      <alignment horizontal="right" vertical="center"/>
    </xf>
    <xf numFmtId="0" fontId="0" fillId="0" borderId="1" xfId="0" applyFont="1" applyBorder="1">
      <alignment vertical="center"/>
    </xf>
    <xf numFmtId="0" fontId="0" fillId="0" borderId="1" xfId="0" applyFont="1" applyFill="1" applyBorder="1">
      <alignment vertical="center"/>
    </xf>
    <xf numFmtId="0" fontId="14" fillId="0" borderId="1" xfId="0" applyFont="1" applyBorder="1" applyAlignment="1">
      <alignment vertical="center" wrapText="1"/>
    </xf>
    <xf numFmtId="180" fontId="14" fillId="0" borderId="0" xfId="0" applyNumberFormat="1" applyFont="1" applyFill="1">
      <alignment vertical="center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184" fontId="14" fillId="0" borderId="1" xfId="0" applyNumberFormat="1" applyFont="1" applyFill="1" applyBorder="1" applyAlignment="1">
      <alignment horizontal="left"/>
    </xf>
    <xf numFmtId="0" fontId="14" fillId="0" borderId="1" xfId="0" applyFont="1" applyFill="1" applyBorder="1" applyAlignment="1">
      <alignment vertical="center"/>
    </xf>
    <xf numFmtId="180" fontId="0" fillId="0" borderId="1" xfId="0" applyNumberFormat="1" applyFont="1" applyFill="1" applyBorder="1">
      <alignment vertical="center"/>
    </xf>
    <xf numFmtId="0" fontId="0" fillId="0" borderId="9" xfId="0" applyFont="1" applyFill="1" applyBorder="1" applyAlignment="1">
      <alignment horizontal="right" vertical="center"/>
    </xf>
    <xf numFmtId="0" fontId="31" fillId="0" borderId="1" xfId="0" applyFont="1" applyFill="1" applyBorder="1" applyAlignment="1">
      <alignment horizontal="left" vertical="center" wrapText="1"/>
    </xf>
    <xf numFmtId="0" fontId="32" fillId="0" borderId="0" xfId="0" applyFont="1" applyFill="1" applyBorder="1" applyAlignment="1">
      <alignment horizontal="left" vertical="center" wrapText="1"/>
    </xf>
    <xf numFmtId="186" fontId="32" fillId="0" borderId="0" xfId="0" applyNumberFormat="1" applyFont="1" applyFill="1" applyBorder="1" applyAlignment="1">
      <alignment horizontal="right" vertical="center" wrapText="1"/>
    </xf>
    <xf numFmtId="186" fontId="14" fillId="0" borderId="0" xfId="0" applyNumberFormat="1" applyFont="1" applyFill="1" applyBorder="1" applyAlignment="1" applyProtection="1">
      <alignment horizontal="right" vertical="center" wrapText="1"/>
    </xf>
    <xf numFmtId="0" fontId="42" fillId="0" borderId="0" xfId="0" applyFont="1" applyFill="1">
      <alignment vertical="center"/>
    </xf>
    <xf numFmtId="0" fontId="43" fillId="0" borderId="0" xfId="0" applyFont="1" applyAlignment="1">
      <alignment horizontal="center" vertical="center"/>
    </xf>
    <xf numFmtId="0" fontId="44" fillId="0" borderId="0" xfId="0" applyFont="1" applyAlignment="1">
      <alignment horizontal="center" vertical="center"/>
    </xf>
    <xf numFmtId="0" fontId="45" fillId="0" borderId="0" xfId="0" applyFont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47" fillId="0" borderId="0" xfId="178" applyFont="1" applyFill="1" applyAlignment="1">
      <alignment horizontal="center" vertical="center"/>
    </xf>
    <xf numFmtId="0" fontId="47" fillId="0" borderId="0" xfId="0" applyFont="1" applyFill="1">
      <alignment vertical="center"/>
    </xf>
  </cellXfs>
  <cellStyles count="191">
    <cellStyle name="常规" xfId="0" builtinId="0"/>
    <cellStyle name="20% - 强调文字颜色 5 3 2 2 4 3" xfId="1"/>
    <cellStyle name="链接单元格 2 3 6 2" xfId="2"/>
    <cellStyle name="常规 25 2 7" xfId="3"/>
    <cellStyle name="货币[0]" xfId="4" builtinId="7"/>
    <cellStyle name="常规 7 39 2 3" xfId="5"/>
    <cellStyle name="20% - 强调文字颜色 2 3 6" xfId="6"/>
    <cellStyle name="货币" xfId="7" builtinId="4"/>
    <cellStyle name="20% - 强调文字颜色 6 2 7 2 2" xfId="8"/>
    <cellStyle name="20% - 强调文字颜色 3" xfId="9" builtinId="38"/>
    <cellStyle name="40% - 强调文字颜色 5 2 5 3 2" xfId="10"/>
    <cellStyle name="输入" xfId="11" builtinId="20"/>
    <cellStyle name="40% - 强调文字颜色 4 2 3 3 3 2" xfId="12"/>
    <cellStyle name="20% - 强调文字颜色 3 2 3 3" xfId="13"/>
    <cellStyle name="60% - 强调文字颜色 4 3 2 4 2" xfId="14"/>
    <cellStyle name="40% - 强调文字颜色 3 2 6 2 2 2" xfId="15"/>
    <cellStyle name="千位分隔[0]" xfId="16" builtinId="6"/>
    <cellStyle name="40% - 强调文字颜色 2 2 3 2 2" xfId="17"/>
    <cellStyle name="20% - 强调文字颜色 1 2 3 3 2 2" xfId="18"/>
    <cellStyle name="20% - 强调文字颜色 4 2 4 3" xfId="19"/>
    <cellStyle name="40% - 强调文字颜色 3" xfId="20" builtinId="39"/>
    <cellStyle name="标题 2 3 2 2 4 2 2 2" xfId="21"/>
    <cellStyle name="标题 1 3 2 5" xfId="22"/>
    <cellStyle name="差" xfId="23" builtinId="27"/>
    <cellStyle name="60% - 强调文字颜色 6 2 3 3 3" xfId="24"/>
    <cellStyle name="解释性文本 2 3 2 4" xfId="25"/>
    <cellStyle name="千位分隔" xfId="26" builtinId="3"/>
    <cellStyle name="标题 6 3 2 2" xfId="27"/>
    <cellStyle name="60% - 强调文字颜色 3" xfId="28" builtinId="40"/>
    <cellStyle name="超链接" xfId="29" builtinId="8"/>
    <cellStyle name="百分比" xfId="30" builtinId="5"/>
    <cellStyle name="已访问的超链接" xfId="31" builtinId="9"/>
    <cellStyle name="注释" xfId="32" builtinId="10"/>
    <cellStyle name="60% - 强调文字颜色 2 3" xfId="33"/>
    <cellStyle name="60% - 强调文字颜色 2" xfId="34" builtinId="36"/>
    <cellStyle name="40% - 强调文字颜色 6 3 3 6 2" xfId="35"/>
    <cellStyle name="标题 4" xfId="36" builtinId="19"/>
    <cellStyle name="检查单元格 3 2 2 3 4" xfId="37"/>
    <cellStyle name="警告文本" xfId="38" builtinId="11"/>
    <cellStyle name="标题" xfId="39" builtinId="15"/>
    <cellStyle name="解释性文本" xfId="40" builtinId="53"/>
    <cellStyle name="标题 1" xfId="41" builtinId="16"/>
    <cellStyle name="标题 2" xfId="42" builtinId="17"/>
    <cellStyle name="60% - 强调文字颜色 5 3 3 3 2" xfId="43"/>
    <cellStyle name="60% - 强调文字颜色 1" xfId="44" builtinId="32"/>
    <cellStyle name="标题 3" xfId="45" builtinId="18"/>
    <cellStyle name="60% - 强调文字颜色 4" xfId="46" builtinId="44"/>
    <cellStyle name="输出" xfId="47" builtinId="21"/>
    <cellStyle name="计算" xfId="48" builtinId="22"/>
    <cellStyle name="差 2 2 7" xfId="49"/>
    <cellStyle name="检查单元格" xfId="50" builtinId="23"/>
    <cellStyle name="40% - 强调文字颜色 1 3 2 5 3" xfId="51"/>
    <cellStyle name="20% - 强调文字颜色 6" xfId="52" builtinId="50"/>
    <cellStyle name="注释 2 19 2 3" xfId="53"/>
    <cellStyle name="强调文字颜色 2" xfId="54" builtinId="33"/>
    <cellStyle name="强调文字颜色 5 3 2 3 2 3" xfId="55"/>
    <cellStyle name="链接单元格" xfId="56" builtinId="24"/>
    <cellStyle name="汇总" xfId="57" builtinId="25"/>
    <cellStyle name="好" xfId="58" builtinId="26"/>
    <cellStyle name="适中" xfId="59" builtinId="28"/>
    <cellStyle name="20% - 强调文字颜色 5" xfId="60" builtinId="46"/>
    <cellStyle name="强调文字颜色 1" xfId="61" builtinId="29"/>
    <cellStyle name="输出 2 3 4 4" xfId="62"/>
    <cellStyle name="20% - 强调文字颜色 1" xfId="63" builtinId="30"/>
    <cellStyle name="差 2 5 3 2" xfId="64"/>
    <cellStyle name="40% - 强调文字颜色 1" xfId="65" builtinId="31"/>
    <cellStyle name="常规 47 2 3" xfId="66"/>
    <cellStyle name="20% - 强调文字颜色 2" xfId="67" builtinId="34"/>
    <cellStyle name="40% - 强调文字颜色 2" xfId="68" builtinId="35"/>
    <cellStyle name="强调文字颜色 3" xfId="69" builtinId="37"/>
    <cellStyle name="千位分隔 2 2 4 2" xfId="70"/>
    <cellStyle name="强调文字颜色 4" xfId="71" builtinId="41"/>
    <cellStyle name="20% - 强调文字颜色 4" xfId="72" builtinId="42"/>
    <cellStyle name="40% - 强调文字颜色 4" xfId="73" builtinId="43"/>
    <cellStyle name="强调文字颜色 5" xfId="74" builtinId="45"/>
    <cellStyle name="40% - 强调文字颜色 5" xfId="75" builtinId="47"/>
    <cellStyle name="标题 3 2 3 2 3" xfId="76"/>
    <cellStyle name="60% - 强调文字颜色 5" xfId="77" builtinId="48"/>
    <cellStyle name="强调文字颜色 6" xfId="78" builtinId="49"/>
    <cellStyle name="40% - 强调文字颜色 6" xfId="79" builtinId="51"/>
    <cellStyle name="60% - 强调文字颜色 1 2 2 4 3" xfId="80"/>
    <cellStyle name="计算 3 3 7" xfId="81"/>
    <cellStyle name="适中 2 6 4" xfId="82"/>
    <cellStyle name="60% - 强调文字颜色 6" xfId="83" builtinId="52"/>
    <cellStyle name="好 3 4 2 3" xfId="84"/>
    <cellStyle name="百分比 9" xfId="85"/>
    <cellStyle name="常规 4 2 4 2 3" xfId="86"/>
    <cellStyle name="强调文字颜色 2 2 2 2 2 2 3" xfId="87"/>
    <cellStyle name="60% - 强调文字颜色 3 3 3 2 2" xfId="88"/>
    <cellStyle name="警告文本 3 4 4" xfId="89"/>
    <cellStyle name="汇总 2 2 2 2 2 3" xfId="90"/>
    <cellStyle name="20% - 强调文字颜色 2 2 9" xfId="91"/>
    <cellStyle name="20% - 强调文字颜色 1 2 9" xfId="92"/>
    <cellStyle name="强调文字颜色 6 2 2 2 3 2 3" xfId="93"/>
    <cellStyle name="60% - 强调文字颜色 6 5" xfId="94"/>
    <cellStyle name="百分比 2 2 3" xfId="95"/>
    <cellStyle name="20% - 强调文字颜色 1 4" xfId="96"/>
    <cellStyle name="20% - 强调文字颜色 3 2 9" xfId="97"/>
    <cellStyle name="20% - 强调文字颜色 2 4" xfId="98"/>
    <cellStyle name="20% - 强调文字颜色 1 7" xfId="99"/>
    <cellStyle name="千位分隔 9 2" xfId="100"/>
    <cellStyle name="20% - 强调文字颜色 2 7" xfId="101"/>
    <cellStyle name="常规 13 6" xfId="102"/>
    <cellStyle name="20% - 强调文字颜色 4 2 9" xfId="103"/>
    <cellStyle name="常规 3 2 3 5 2 2 2" xfId="104"/>
    <cellStyle name="常规 2 6" xfId="105"/>
    <cellStyle name="20% - 强调文字颜色 3 4" xfId="106"/>
    <cellStyle name="20% - 强调文字颜色 3 7" xfId="107"/>
    <cellStyle name="常规 2 16 5" xfId="108"/>
    <cellStyle name="40% - 强调文字颜色 1 4" xfId="109"/>
    <cellStyle name="40% - 强调文字颜色 2 4" xfId="110"/>
    <cellStyle name="20% - 强调文字颜色 4 4" xfId="111"/>
    <cellStyle name="20% - 强调文字颜色 4 7" xfId="112"/>
    <cellStyle name="标题 1 4" xfId="113"/>
    <cellStyle name="标题 2 4" xfId="114"/>
    <cellStyle name="标题 3 4" xfId="115"/>
    <cellStyle name="20% - 强调文字颜色 5 2 9" xfId="116"/>
    <cellStyle name="20% - 强调文字颜色 5 4" xfId="117"/>
    <cellStyle name="20% - 强调文字颜色 5 7" xfId="118"/>
    <cellStyle name="强调文字颜色 4 2 5 4" xfId="119"/>
    <cellStyle name="20% - 强调文字颜色 6 2 9" xfId="120"/>
    <cellStyle name="链接单元格 2 3 2 4" xfId="121"/>
    <cellStyle name="强调文字颜色 3 3 3 2 2 3" xfId="122"/>
    <cellStyle name="20% - 强调文字颜色 6 4" xfId="123"/>
    <cellStyle name="20% - 强调文字颜色 6 7" xfId="124"/>
    <cellStyle name="千分位_97-917" xfId="125"/>
    <cellStyle name="差 4" xfId="126"/>
    <cellStyle name="强调文字颜色 1 3 2 3 4" xfId="127"/>
    <cellStyle name="解释性文本 4" xfId="128"/>
    <cellStyle name="常规_表格(附件一)修改（正式）元月13日s 2 3" xfId="129"/>
    <cellStyle name="40% - 强调文字颜色 3 4" xfId="130"/>
    <cellStyle name="60% - 强调文字颜色 1 5" xfId="131"/>
    <cellStyle name="常规 2 10" xfId="132"/>
    <cellStyle name="好 4" xfId="133"/>
    <cellStyle name="输入 3 3 2 2 3" xfId="134"/>
    <cellStyle name="60% - 强调文字颜色 5 5" xfId="135"/>
    <cellStyle name="40% - 强调文字颜色 6 4" xfId="136"/>
    <cellStyle name="60% - 强调文字颜色 1 4" xfId="137"/>
    <cellStyle name="60% - 强调文字颜色 2 4" xfId="138"/>
    <cellStyle name="60% - 强调文字颜色 2 5" xfId="139"/>
    <cellStyle name="常规 100" xfId="140"/>
    <cellStyle name="60% - 强调文字颜色 3 4" xfId="141"/>
    <cellStyle name="60% - 强调文字颜色 3 5" xfId="142"/>
    <cellStyle name="60% - 强调文字颜色 4 4" xfId="143"/>
    <cellStyle name="60% - 强调文字颜色 4 5" xfId="144"/>
    <cellStyle name="60% - 强调文字颜色 5 4" xfId="145"/>
    <cellStyle name="60% - 强调文字颜色 6 4" xfId="146"/>
    <cellStyle name="百分比 7 2" xfId="147"/>
    <cellStyle name="标题 3 5" xfId="148"/>
    <cellStyle name="千位分隔 3" xfId="149"/>
    <cellStyle name="千位分隔 3 2" xfId="150"/>
    <cellStyle name="标题 4 4" xfId="151"/>
    <cellStyle name="标题 7" xfId="152"/>
    <cellStyle name="常规 13" xfId="153"/>
    <cellStyle name="常规 14 6" xfId="154"/>
    <cellStyle name="常规 14 6 2 2 2 2 2" xfId="155"/>
    <cellStyle name="常规 6 4" xfId="156"/>
    <cellStyle name="汇总 4" xfId="157"/>
    <cellStyle name="常规 19 7" xfId="158"/>
    <cellStyle name="常规 6 6" xfId="159"/>
    <cellStyle name="常规 2 16" xfId="160"/>
    <cellStyle name="常规 2 2 2 2 2" xfId="161"/>
    <cellStyle name="常规 29 48" xfId="162"/>
    <cellStyle name="常规 3 3" xfId="163"/>
    <cellStyle name="检查单元格 4" xfId="164"/>
    <cellStyle name="常规 42 2" xfId="165"/>
    <cellStyle name="千位分隔 2 9" xfId="166"/>
    <cellStyle name="千位分隔 11" xfId="167"/>
    <cellStyle name="常规 84" xfId="168"/>
    <cellStyle name="输入 4" xfId="169"/>
    <cellStyle name="千位分隔 4 4" xfId="170"/>
    <cellStyle name="千位分隔 5" xfId="171"/>
    <cellStyle name="千位分隔 6" xfId="172"/>
    <cellStyle name="常规 85 2" xfId="173"/>
    <cellStyle name="常规 9 2" xfId="174"/>
    <cellStyle name="常规_2007.12（送人大）" xfId="175"/>
    <cellStyle name="常规_2007.12（送人大） 2 3" xfId="176"/>
    <cellStyle name="常规_表格(附件一)修改（正式）元月13日s" xfId="177"/>
    <cellStyle name="超链接 2" xfId="178"/>
    <cellStyle name="计算 4" xfId="179"/>
    <cellStyle name="强调文字颜色 1 4" xfId="180"/>
    <cellStyle name="警告文本 4" xfId="181"/>
    <cellStyle name="链接单元格 4" xfId="182"/>
    <cellStyle name="千位分隔 2 6 3" xfId="183"/>
    <cellStyle name="千位分隔[0] 2" xfId="184"/>
    <cellStyle name="强调文字颜色 2 4" xfId="185"/>
    <cellStyle name="强调文字颜色 3 4" xfId="186"/>
    <cellStyle name="强调文字颜色 6 4" xfId="187"/>
    <cellStyle name="适中 4" xfId="188"/>
    <cellStyle name="输出 4" xfId="189"/>
    <cellStyle name="注释 4" xfId="190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7030A0"/>
      <color rgb="00FFC0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7" Type="http://schemas.openxmlformats.org/officeDocument/2006/relationships/sharedStrings" Target="sharedStrings.xml"/><Relationship Id="rId46" Type="http://schemas.openxmlformats.org/officeDocument/2006/relationships/styles" Target="styles.xml"/><Relationship Id="rId45" Type="http://schemas.openxmlformats.org/officeDocument/2006/relationships/theme" Target="theme/theme1.xml"/><Relationship Id="rId44" Type="http://schemas.openxmlformats.org/officeDocument/2006/relationships/externalLink" Target="externalLinks/externalLink26.xml"/><Relationship Id="rId43" Type="http://schemas.openxmlformats.org/officeDocument/2006/relationships/externalLink" Target="externalLinks/externalLink25.xml"/><Relationship Id="rId42" Type="http://schemas.openxmlformats.org/officeDocument/2006/relationships/externalLink" Target="externalLinks/externalLink24.xml"/><Relationship Id="rId41" Type="http://schemas.openxmlformats.org/officeDocument/2006/relationships/externalLink" Target="externalLinks/externalLink23.xml"/><Relationship Id="rId40" Type="http://schemas.openxmlformats.org/officeDocument/2006/relationships/externalLink" Target="externalLinks/externalLink22.xml"/><Relationship Id="rId4" Type="http://schemas.openxmlformats.org/officeDocument/2006/relationships/worksheet" Target="worksheets/sheet4.xml"/><Relationship Id="rId39" Type="http://schemas.openxmlformats.org/officeDocument/2006/relationships/externalLink" Target="externalLinks/externalLink21.xml"/><Relationship Id="rId38" Type="http://schemas.openxmlformats.org/officeDocument/2006/relationships/externalLink" Target="externalLinks/externalLink20.xml"/><Relationship Id="rId37" Type="http://schemas.openxmlformats.org/officeDocument/2006/relationships/externalLink" Target="externalLinks/externalLink19.xml"/><Relationship Id="rId36" Type="http://schemas.openxmlformats.org/officeDocument/2006/relationships/externalLink" Target="externalLinks/externalLink18.xml"/><Relationship Id="rId35" Type="http://schemas.openxmlformats.org/officeDocument/2006/relationships/externalLink" Target="externalLinks/externalLink17.xml"/><Relationship Id="rId34" Type="http://schemas.openxmlformats.org/officeDocument/2006/relationships/externalLink" Target="externalLinks/externalLink16.xml"/><Relationship Id="rId33" Type="http://schemas.openxmlformats.org/officeDocument/2006/relationships/externalLink" Target="externalLinks/externalLink15.xml"/><Relationship Id="rId32" Type="http://schemas.openxmlformats.org/officeDocument/2006/relationships/externalLink" Target="externalLinks/externalLink14.xml"/><Relationship Id="rId31" Type="http://schemas.openxmlformats.org/officeDocument/2006/relationships/externalLink" Target="externalLinks/externalLink13.xml"/><Relationship Id="rId30" Type="http://schemas.openxmlformats.org/officeDocument/2006/relationships/externalLink" Target="externalLinks/externalLink12.xml"/><Relationship Id="rId3" Type="http://schemas.openxmlformats.org/officeDocument/2006/relationships/worksheet" Target="worksheets/sheet3.xml"/><Relationship Id="rId29" Type="http://schemas.openxmlformats.org/officeDocument/2006/relationships/externalLink" Target="externalLinks/externalLink11.xml"/><Relationship Id="rId28" Type="http://schemas.openxmlformats.org/officeDocument/2006/relationships/externalLink" Target="externalLinks/externalLink10.xml"/><Relationship Id="rId27" Type="http://schemas.openxmlformats.org/officeDocument/2006/relationships/externalLink" Target="externalLinks/externalLink9.xml"/><Relationship Id="rId26" Type="http://schemas.openxmlformats.org/officeDocument/2006/relationships/externalLink" Target="externalLinks/externalLink8.xml"/><Relationship Id="rId25" Type="http://schemas.openxmlformats.org/officeDocument/2006/relationships/externalLink" Target="externalLinks/externalLink7.xml"/><Relationship Id="rId24" Type="http://schemas.openxmlformats.org/officeDocument/2006/relationships/externalLink" Target="externalLinks/externalLink6.xml"/><Relationship Id="rId23" Type="http://schemas.openxmlformats.org/officeDocument/2006/relationships/externalLink" Target="externalLinks/externalLink5.xml"/><Relationship Id="rId22" Type="http://schemas.openxmlformats.org/officeDocument/2006/relationships/externalLink" Target="externalLinks/externalLink4.xml"/><Relationship Id="rId21" Type="http://schemas.openxmlformats.org/officeDocument/2006/relationships/externalLink" Target="externalLinks/externalLink3.xml"/><Relationship Id="rId20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1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Spares\FILES\SMCTS2\SMCTSSP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998;&#22320;&#21439;&#36130;&#25919;&#19968;&#33324;&#39044;&#31639;&#25910;&#20837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2320;&#21439;&#24037;&#21830;&#31246;&#25910;&#20915;&#31639;&#25968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34892;&#25919;&#21644;&#20844;&#26816;&#27861;&#21496;&#37096;&#38376;&#32534;&#21046;&#25968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844;&#29992;&#26631;&#20934;&#25903;&#20986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Administrator\&#26700;&#38754;\DOCUME~1\zq\LOCALS~1\Temp\&#25919;&#27861;&#21475;&#24120;&#29992;&#32479;&#35745;&#36164;&#26009;\&#19977;&#23395;&#24230;&#27719;&#24635;\&#39044;&#31639;\2006&#39044;&#31639;&#25253;&#3492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892;&#19994;&#20154;&#21475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20892;&#19994;&#29992;&#22320;&#38754;&#31215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BSERVER\&#39044;&#31639;&#21496;\&#20849;&#20139;&#25968;&#25454;\&#21382;&#24180;&#20915;&#31639;\1996&#24180;\1996&#24180;&#20915;&#31639;&#27719;&#24635;\2021&#28246;&#21271;&#30465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54;&#21592;&#26631;&#20934;&#25903;&#20986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07;&#19994;&#21457;&#23637;&#25903;&#20986;&#65288;&#32463;&#24046;&#24322;&#35843;&#25972;&#652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NGHAI_LF\&#39044;&#31639;&#22788;\BY\YS3\97&#20915;&#31639;&#21306;&#21439;&#26368;&#21518;&#27719;&#24635;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.000\Desktop\&#25105;&#30340;&#20844;&#25991;&#21253;\&#36213;&#21746;&#36132;&#25991;&#20214;&#22841;\&#25253;&#34920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&#20065;&#38215;&#21644;&#34892;&#25919;&#26449;&#20010;&#25968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Administrator\&#26700;&#38754;\DOCUME~1\zq\LOCALS~1\Temp\&#36130;&#25919;&#20379;&#20859;&#20154;&#21592;&#20449;&#24687;&#34920;\&#25945;&#32946;\&#27896;&#27700;&#22235;&#20013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2&#24180;&#20113;&#21335;&#30465;&#20998;&#21439;&#19968;&#33324;&#39044;&#31639;&#25910;&#20837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dgetserver\&#39044;&#31639;&#21496;\BY\YS3\97&#20915;&#31639;&#21306;&#21439;&#26368;&#21518;&#27719;&#24635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013;&#23567;&#23398;&#29983;&#20154;&#25968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4635;&#20154;&#21475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2004&#24180;&#20113;&#21335;&#30465;&#20998;&#21439;&#26412;&#32423;&#26631;&#20934;&#25910;&#20837;&#21512;&#35745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22&#24180;&#20840;&#37096;&#24037;&#20316;&#36164;&#26009;&#20869;&#23481;\2021&#24180;&#20065;&#38215;&#32467;&#31639;\2022.2.22&#20065;&#38215;&#32467;&#31639;\http:\10.124.1.30\cgi-bin\read_attach\application\octet-stream1MKxqC5YTFM=\&#25509;&#25910;&#25991;&#20214;&#30446;&#24405;\&#39044;&#31639;&#32929;212052004-5-13%2016&#65306;33&#65306;36\2004&#24180;&#24120;&#29992;\2004&#26376;&#25253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&#36130;&#25919;&#20840;&#20379;&#20859;&#20154;&#21592;&#22686;&#24133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6449;&#32423;&#26631;&#20934;&#25903;&#20986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Administrator\&#26700;&#38754;\&#27575;&#38177;&#29790;\&#21271;&#20140;&#24503;&#21150;\2007&#24180;&#27979;&#31639;&#26041;&#26696;\&#19968;&#22870;\Documents%20and%20Settings\caiqiang\My%20Documents\&#21439;&#20065;&#36130;&#25919;&#22256;&#38590;&#27979;&#31639;&#26041;&#26696;\&#26041;&#26696;&#19977;&#31295;\&#26041;&#26696;&#20108;&#31295;\&#35774;&#22791;\&#21407;&#22987;\814\13%20&#38081;&#36335;&#37197;&#20214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Administrator\&#26700;&#38754;\DOCUME~1\zq\LOCALS~1\Temp\04&#20307;&#21046;&#31185;\03&#24180;&#32456;&#32467;&#31639;&#21450;&#25968;&#25454;&#20998;&#26512;\2006&#24180;\&#20915;&#31639;&#21450;&#25968;&#25454;&#20998;&#26512;\&#20915;&#31639;&#20998;&#26512;&#36164;&#26009;&#32467;&#26524;\&#21439;&#32423;&#36130;&#25919;&#25253;&#34920;&#38468;&#34920;\01&#26118;&#26126;\01&#26118;&#26126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GDP&#21450;&#20998;&#20135;&#19994;&#25968;&#25454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qpmad2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一般预算收入"/>
    </sheetNames>
    <sheetDataSet>
      <sheetData sheetId="0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工商税收"/>
    </sheetNames>
    <sheetDataSet>
      <sheetData sheetId="0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行政编制"/>
      <sheetName val="公检法司编制"/>
      <sheetName val="行政和公检法司人数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合计"/>
      <sheetName val="行政"/>
      <sheetName val="公检法司"/>
      <sheetName val="教育"/>
      <sheetName val="其他事业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1"/>
      <sheetName val="单位信息2"/>
      <sheetName val="非税征收"/>
      <sheetName val="政府采购"/>
      <sheetName val="基本支出预算"/>
      <sheetName val="项目预算"/>
      <sheetName val="成本性预算"/>
      <sheetName val="收支预算总表"/>
      <sheetName val="编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农业人口"/>
    </sheetNames>
    <sheetDataSet>
      <sheetData sheetId="0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农业用地"/>
    </sheetNames>
    <sheetDataSet>
      <sheetData sheetId="0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</sheetNames>
    <sheetDataSet>
      <sheetData sheetId="0" refreshError="1"/>
      <sheetData sheetId="1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人员支出"/>
    </sheetNames>
    <sheetDataSet>
      <sheetData sheetId="0" refreshError="1"/>
      <sheetData sheetId="1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事业发展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四月份月报"/>
    </sheetNames>
    <sheetDataSet>
      <sheetData sheetId="0" refreshError="1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行政区划"/>
    </sheetNames>
    <sheetDataSet>
      <sheetData sheetId="0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2002年一般预算收入"/>
    </sheetNames>
    <sheetDataSet>
      <sheetData sheetId="0" refreshError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 refreshError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中小学生"/>
    </sheetNames>
    <sheetDataSet>
      <sheetData sheetId="0" refreshError="1"/>
      <sheetData sheetId="1" refreshError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总人口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本年收入合计"/>
      <sheetName val="01.增值税"/>
      <sheetName val="03.营业税"/>
      <sheetName val="04.企业所得税"/>
      <sheetName val="07.个人所得税"/>
      <sheetName val="08.资源税"/>
      <sheetName val="09.投调税"/>
      <sheetName val="10.城建税"/>
      <sheetName val="11.房产税"/>
      <sheetName val="12.印花税"/>
      <sheetName val="13.城镇土地使用税"/>
      <sheetName val="14.土地增值税"/>
      <sheetName val="15.车船使用和牌照税"/>
      <sheetName val="25.屠宰税"/>
      <sheetName val="30.农业税"/>
      <sheetName val="31.烟叶农特税"/>
      <sheetName val="33.耕地占用税"/>
      <sheetName val="34.契税"/>
      <sheetName val="40.经营收益"/>
      <sheetName val="41.亏损补贴"/>
      <sheetName val="42.行政性收费"/>
      <sheetName val="43.罚没收入"/>
      <sheetName val="70.专项收入"/>
      <sheetName val="71.其他收入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月报"/>
      <sheetName val="1月报"/>
      <sheetName val="2月报"/>
      <sheetName val="3月报"/>
      <sheetName val="4月报"/>
      <sheetName val="5月报"/>
      <sheetName val="6月报"/>
      <sheetName val="7月报"/>
      <sheetName val="8月报"/>
      <sheetName val="9月报"/>
      <sheetName val="10月报"/>
      <sheetName val="11月报"/>
      <sheetName val="12月报"/>
      <sheetName val="汇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财政供养人员增幅"/>
    </sheetNames>
    <sheetDataSet>
      <sheetData sheetId="0" refreshError="1"/>
      <sheetData sheetId="1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村级支出"/>
    </sheetNames>
    <sheetDataSet>
      <sheetData sheetId="0" refreshError="1"/>
      <sheetData sheetId="1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Sheet3"/>
      <sheetName val="Sheet4"/>
      <sheetName val="laroux"/>
      <sheetName val="评估结果汇总表"/>
      <sheetName val="评估分类汇总表"/>
      <sheetName val="流动资产汇总表"/>
      <sheetName val="4货币现金"/>
      <sheetName val="5银行存款"/>
      <sheetName val="11应收帐款"/>
      <sheetName val="14预付帐"/>
      <sheetName val="16其他应收"/>
      <sheetName val="存货汇总"/>
      <sheetName val="23产成品 "/>
      <sheetName val="长期投资汇总表"/>
      <sheetName val="其他投资"/>
      <sheetName val="固定资产汇总表"/>
      <sheetName val="38房屋建筑"/>
      <sheetName val="41机器设备"/>
      <sheetName val="42车辆"/>
      <sheetName val="流动负债汇总表"/>
      <sheetName val="58应付帐"/>
      <sheetName val="61其他应付"/>
      <sheetName val="62应付工资"/>
      <sheetName val="63应付福利费"/>
      <sheetName val="64应交税金"/>
      <sheetName val="应付利润"/>
      <sheetName val="其他应交款"/>
      <sheetName val="长期负债汇总表"/>
      <sheetName val="在建"/>
      <sheetName val=""/>
      <sheetName val="13 铁路配件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目录"/>
      <sheetName val="A01"/>
      <sheetName val="A02"/>
      <sheetName val="A03"/>
      <sheetName val="A04"/>
      <sheetName val="A05"/>
      <sheetName val="A06"/>
      <sheetName val="A0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GDP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0"/>
  <sheetViews>
    <sheetView tabSelected="1" topLeftCell="A21" workbookViewId="0">
      <selection activeCell="I10" sqref="I10"/>
    </sheetView>
  </sheetViews>
  <sheetFormatPr defaultColWidth="9" defaultRowHeight="14.25" outlineLevelCol="6"/>
  <cols>
    <col min="1" max="1" width="5.75" customWidth="1"/>
    <col min="7" max="7" width="29" customWidth="1"/>
  </cols>
  <sheetData>
    <row r="1" ht="21" customHeight="1" spans="1:1">
      <c r="A1" s="364" t="s">
        <v>0</v>
      </c>
    </row>
    <row r="2" ht="27" spans="1:7">
      <c r="A2" s="365" t="s">
        <v>1</v>
      </c>
      <c r="B2" s="366"/>
      <c r="C2" s="366"/>
      <c r="D2" s="366"/>
      <c r="E2" s="366"/>
      <c r="F2" s="366"/>
      <c r="G2" s="366"/>
    </row>
    <row r="3" ht="22.5" spans="1:7">
      <c r="A3" s="367" t="s">
        <v>2</v>
      </c>
      <c r="B3" s="367"/>
      <c r="C3" s="367"/>
      <c r="D3" s="367"/>
      <c r="E3" s="367"/>
      <c r="F3" s="367"/>
      <c r="G3" s="367"/>
    </row>
    <row r="4" ht="25.5" spans="1:3">
      <c r="A4" s="368"/>
      <c r="B4" s="368"/>
      <c r="C4" s="368"/>
    </row>
    <row r="5" ht="32.25" customHeight="1" spans="2:3">
      <c r="B5" s="369" t="s">
        <v>3</v>
      </c>
      <c r="C5" s="370" t="s">
        <v>4</v>
      </c>
    </row>
    <row r="6" ht="32.25" customHeight="1" spans="2:3">
      <c r="B6" s="369" t="s">
        <v>5</v>
      </c>
      <c r="C6" s="370" t="s">
        <v>6</v>
      </c>
    </row>
    <row r="7" ht="32.25" customHeight="1" spans="2:3">
      <c r="B7" s="369" t="s">
        <v>7</v>
      </c>
      <c r="C7" s="370" t="s">
        <v>8</v>
      </c>
    </row>
    <row r="8" ht="32.25" customHeight="1" spans="2:3">
      <c r="B8" s="369" t="s">
        <v>9</v>
      </c>
      <c r="C8" s="370" t="s">
        <v>10</v>
      </c>
    </row>
    <row r="9" ht="32.25" customHeight="1" spans="2:3">
      <c r="B9" s="369" t="s">
        <v>11</v>
      </c>
      <c r="C9" s="370" t="s">
        <v>12</v>
      </c>
    </row>
    <row r="10" ht="32.25" customHeight="1" spans="2:3">
      <c r="B10" s="369" t="s">
        <v>13</v>
      </c>
      <c r="C10" s="370" t="s">
        <v>14</v>
      </c>
    </row>
    <row r="11" ht="32.25" customHeight="1" spans="2:3">
      <c r="B11" s="369" t="s">
        <v>15</v>
      </c>
      <c r="C11" s="370" t="s">
        <v>16</v>
      </c>
    </row>
    <row r="12" ht="32.25" customHeight="1" spans="2:3">
      <c r="B12" s="369" t="s">
        <v>17</v>
      </c>
      <c r="C12" s="370" t="s">
        <v>18</v>
      </c>
    </row>
    <row r="13" ht="32.25" customHeight="1" spans="2:3">
      <c r="B13" s="369" t="s">
        <v>19</v>
      </c>
      <c r="C13" s="370" t="s">
        <v>20</v>
      </c>
    </row>
    <row r="14" ht="32.25" customHeight="1" spans="2:3">
      <c r="B14" s="369" t="s">
        <v>21</v>
      </c>
      <c r="C14" s="370" t="s">
        <v>22</v>
      </c>
    </row>
    <row r="15" ht="32.25" customHeight="1" spans="2:3">
      <c r="B15" s="369" t="s">
        <v>23</v>
      </c>
      <c r="C15" s="370" t="s">
        <v>24</v>
      </c>
    </row>
    <row r="16" ht="32.25" customHeight="1" spans="2:3">
      <c r="B16" s="369" t="s">
        <v>25</v>
      </c>
      <c r="C16" s="370" t="s">
        <v>26</v>
      </c>
    </row>
    <row r="17" ht="32.25" customHeight="1" spans="2:3">
      <c r="B17" s="369" t="s">
        <v>27</v>
      </c>
      <c r="C17" s="370" t="s">
        <v>28</v>
      </c>
    </row>
    <row r="18" ht="32.25" customHeight="1" spans="2:3">
      <c r="B18" s="369" t="s">
        <v>29</v>
      </c>
      <c r="C18" s="370" t="s">
        <v>30</v>
      </c>
    </row>
    <row r="19" ht="32.25" customHeight="1" spans="2:3">
      <c r="B19" s="369" t="s">
        <v>31</v>
      </c>
      <c r="C19" s="370" t="s">
        <v>32</v>
      </c>
    </row>
    <row r="20" ht="32.25" customHeight="1" spans="2:3">
      <c r="B20" s="369" t="s">
        <v>33</v>
      </c>
      <c r="C20" s="370" t="s">
        <v>34</v>
      </c>
    </row>
    <row r="21" ht="32.25" customHeight="1" spans="2:3">
      <c r="B21" s="369" t="s">
        <v>35</v>
      </c>
      <c r="C21" s="370" t="s">
        <v>36</v>
      </c>
    </row>
    <row r="22" ht="32.25" customHeight="1" spans="2:3">
      <c r="B22" s="369"/>
      <c r="C22" s="370"/>
    </row>
    <row r="23" ht="32.25" customHeight="1"/>
    <row r="24" ht="32.25" customHeight="1" spans="2:3">
      <c r="B24" s="369"/>
      <c r="C24" s="370"/>
    </row>
    <row r="25" ht="32.25" customHeight="1"/>
    <row r="26" ht="32.25" customHeight="1"/>
    <row r="27" ht="32.25" customHeight="1"/>
    <row r="28" ht="32.25" customHeight="1"/>
    <row r="29" ht="32.25" customHeight="1" spans="2:3">
      <c r="B29" s="369"/>
      <c r="C29" s="370"/>
    </row>
    <row r="30" ht="32.25" customHeight="1" spans="2:3">
      <c r="B30" s="369"/>
      <c r="C30" s="370"/>
    </row>
  </sheetData>
  <mergeCells count="2">
    <mergeCell ref="A2:G2"/>
    <mergeCell ref="A3:G3"/>
  </mergeCells>
  <pageMargins left="0.7" right="0.7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0"/>
  <sheetViews>
    <sheetView workbookViewId="0">
      <pane ySplit="4" topLeftCell="A5" activePane="bottomLeft" state="frozen"/>
      <selection/>
      <selection pane="bottomLeft" activeCell="E5" sqref="E5"/>
    </sheetView>
  </sheetViews>
  <sheetFormatPr defaultColWidth="9" defaultRowHeight="14.25"/>
  <cols>
    <col min="2" max="2" width="27.375" customWidth="1"/>
    <col min="3" max="5" width="13.75" customWidth="1"/>
    <col min="6" max="6" width="10.875" customWidth="1"/>
    <col min="7" max="8" width="10.25" customWidth="1"/>
    <col min="9" max="9" width="8.375" customWidth="1"/>
    <col min="11" max="11" width="10.5" customWidth="1"/>
    <col min="12" max="12" width="13.75"/>
  </cols>
  <sheetData>
    <row r="1" ht="16.5" customHeight="1" spans="1:9">
      <c r="A1" s="182" t="s">
        <v>19</v>
      </c>
      <c r="B1" s="183"/>
      <c r="C1" s="184"/>
      <c r="D1" s="185"/>
      <c r="E1" s="185"/>
      <c r="F1" s="186"/>
      <c r="G1" s="187"/>
      <c r="H1" s="186"/>
      <c r="I1" s="206"/>
    </row>
    <row r="2" ht="20.25" spans="1:9">
      <c r="A2" s="188" t="s">
        <v>769</v>
      </c>
      <c r="B2" s="52"/>
      <c r="C2" s="145"/>
      <c r="D2" s="145"/>
      <c r="E2" s="145"/>
      <c r="F2" s="144"/>
      <c r="G2" s="145"/>
      <c r="H2" s="144"/>
      <c r="I2" s="207"/>
    </row>
    <row r="3" customHeight="1" spans="1:9">
      <c r="A3" s="189"/>
      <c r="B3" s="189"/>
      <c r="C3" s="190"/>
      <c r="D3" s="187"/>
      <c r="E3" s="187"/>
      <c r="F3" s="186"/>
      <c r="G3" s="191" t="s">
        <v>38</v>
      </c>
      <c r="H3" s="192"/>
      <c r="I3" s="208"/>
    </row>
    <row r="4" ht="30" customHeight="1" spans="1:9">
      <c r="A4" s="193" t="s">
        <v>39</v>
      </c>
      <c r="B4" s="194" t="s">
        <v>40</v>
      </c>
      <c r="C4" s="195" t="s">
        <v>41</v>
      </c>
      <c r="D4" s="150" t="s">
        <v>42</v>
      </c>
      <c r="E4" s="150" t="s">
        <v>43</v>
      </c>
      <c r="F4" s="196" t="s">
        <v>770</v>
      </c>
      <c r="G4" s="150" t="s">
        <v>45</v>
      </c>
      <c r="H4" s="196" t="s">
        <v>46</v>
      </c>
      <c r="I4" s="209"/>
    </row>
    <row r="5" ht="30" customHeight="1" spans="1:9">
      <c r="A5" s="197">
        <v>10301</v>
      </c>
      <c r="B5" s="198" t="s">
        <v>771</v>
      </c>
      <c r="C5" s="199">
        <f>SUM(C6:C10)</f>
        <v>250800</v>
      </c>
      <c r="D5" s="199">
        <f>SUM(D6:D10)</f>
        <v>250909</v>
      </c>
      <c r="E5" s="199">
        <f>SUM(E6:E10)</f>
        <v>251727</v>
      </c>
      <c r="F5" s="200">
        <f>E5/D5</f>
        <v>1.00326014610875</v>
      </c>
      <c r="G5" s="199">
        <f>SUM(G6:G10)</f>
        <v>364337</v>
      </c>
      <c r="H5" s="172">
        <f>E5/G5-1</f>
        <v>-0.30908197630216</v>
      </c>
      <c r="I5" s="210"/>
    </row>
    <row r="6" ht="30" customHeight="1" spans="1:9">
      <c r="A6" s="201">
        <v>1030148</v>
      </c>
      <c r="B6" s="202" t="s">
        <v>772</v>
      </c>
      <c r="C6" s="203">
        <v>250000</v>
      </c>
      <c r="D6" s="204">
        <v>249109</v>
      </c>
      <c r="E6" s="199">
        <v>249800</v>
      </c>
      <c r="F6" s="200">
        <f>E6/D6</f>
        <v>1.00277388613017</v>
      </c>
      <c r="G6" s="199">
        <v>362668</v>
      </c>
      <c r="H6" s="172">
        <f>E6/G6-1</f>
        <v>-0.31121576758909</v>
      </c>
      <c r="I6" s="210"/>
    </row>
    <row r="7" ht="30" customHeight="1" spans="1:9">
      <c r="A7" s="201">
        <v>1030155</v>
      </c>
      <c r="B7" s="202" t="s">
        <v>773</v>
      </c>
      <c r="C7" s="199">
        <v>0</v>
      </c>
      <c r="D7" s="199">
        <v>46</v>
      </c>
      <c r="E7" s="199">
        <v>0</v>
      </c>
      <c r="F7" s="200">
        <v>0</v>
      </c>
      <c r="G7" s="199">
        <v>0</v>
      </c>
      <c r="H7" s="172">
        <v>0</v>
      </c>
      <c r="I7" s="210"/>
    </row>
    <row r="8" ht="30" customHeight="1" spans="1:9">
      <c r="A8" s="201">
        <v>1030156</v>
      </c>
      <c r="B8" s="202" t="s">
        <v>774</v>
      </c>
      <c r="C8" s="199">
        <v>600</v>
      </c>
      <c r="D8" s="199">
        <v>1500</v>
      </c>
      <c r="E8" s="199">
        <v>1716</v>
      </c>
      <c r="F8" s="200">
        <f>E8/D8</f>
        <v>1.144</v>
      </c>
      <c r="G8" s="199">
        <v>781</v>
      </c>
      <c r="H8" s="172">
        <f>E8/G8-1</f>
        <v>1.19718309859155</v>
      </c>
      <c r="I8" s="210"/>
    </row>
    <row r="9" ht="30" customHeight="1" spans="1:9">
      <c r="A9" s="201">
        <v>1030178</v>
      </c>
      <c r="B9" s="205" t="s">
        <v>775</v>
      </c>
      <c r="C9" s="199">
        <v>200</v>
      </c>
      <c r="D9" s="199">
        <v>200</v>
      </c>
      <c r="E9" s="199">
        <v>211</v>
      </c>
      <c r="F9" s="200">
        <f>E9/D9</f>
        <v>1.055</v>
      </c>
      <c r="G9" s="199">
        <v>305</v>
      </c>
      <c r="H9" s="172">
        <f>E9/G9-1</f>
        <v>-0.308196721311475</v>
      </c>
      <c r="I9" s="211"/>
    </row>
    <row r="10" ht="30" customHeight="1" spans="1:9">
      <c r="A10" s="201">
        <v>1030199</v>
      </c>
      <c r="B10" s="202" t="s">
        <v>776</v>
      </c>
      <c r="C10" s="199">
        <v>0</v>
      </c>
      <c r="D10" s="199">
        <v>54</v>
      </c>
      <c r="E10" s="199">
        <v>0</v>
      </c>
      <c r="F10" s="200">
        <f>E10/D10</f>
        <v>0</v>
      </c>
      <c r="G10" s="199">
        <v>583</v>
      </c>
      <c r="H10" s="172">
        <f>E10/G10-1</f>
        <v>-1</v>
      </c>
      <c r="I10" s="210"/>
    </row>
  </sheetData>
  <mergeCells count="2">
    <mergeCell ref="A2:H2"/>
    <mergeCell ref="G3:H3"/>
  </mergeCells>
  <pageMargins left="0.51" right="0.51" top="1" bottom="1" header="0.51" footer="0.51"/>
  <pageSetup paperSize="9" scale="79" fitToHeight="0" orientation="portrait"/>
  <headerFooter alignWithMargins="0" scaleWithDoc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T70"/>
  <sheetViews>
    <sheetView workbookViewId="0">
      <pane ySplit="7" topLeftCell="A8" activePane="bottomLeft" state="frozen"/>
      <selection/>
      <selection pane="bottomLeft" activeCell="F7" sqref="F7"/>
    </sheetView>
  </sheetViews>
  <sheetFormatPr defaultColWidth="9" defaultRowHeight="14.25"/>
  <cols>
    <col min="1" max="1" width="8.375" customWidth="1"/>
    <col min="2" max="2" width="13" customWidth="1"/>
    <col min="3" max="3" width="10.875" customWidth="1"/>
    <col min="4" max="4" width="13" customWidth="1"/>
    <col min="5" max="5" width="11" customWidth="1"/>
    <col min="6" max="6" width="16.5" customWidth="1"/>
    <col min="7" max="7" width="13.125" customWidth="1"/>
    <col min="8" max="9" width="9" hidden="1" customWidth="1"/>
    <col min="10" max="10" width="16.375" customWidth="1"/>
    <col min="11" max="11" width="11.75" customWidth="1"/>
    <col min="12" max="12" width="11.875" customWidth="1"/>
    <col min="14" max="14" width="12.625"/>
    <col min="17" max="17" width="13.75"/>
    <col min="16374" max="16374" width="12.625"/>
  </cols>
  <sheetData>
    <row r="1" spans="1:1">
      <c r="A1" s="143" t="s">
        <v>21</v>
      </c>
    </row>
    <row r="2" ht="46.5" customHeight="1" spans="2:12">
      <c r="B2" s="144" t="s">
        <v>22</v>
      </c>
      <c r="C2" s="145"/>
      <c r="D2" s="145"/>
      <c r="E2" s="145"/>
      <c r="F2" s="145"/>
      <c r="G2" s="145"/>
      <c r="L2" s="144"/>
    </row>
    <row r="3" ht="21" customHeight="1" spans="2:12">
      <c r="B3" s="146"/>
      <c r="C3" s="147"/>
      <c r="D3" s="147"/>
      <c r="E3" s="147"/>
      <c r="F3" s="147"/>
      <c r="G3" s="148"/>
      <c r="L3" s="164" t="s">
        <v>38</v>
      </c>
    </row>
    <row r="4" ht="30" customHeight="1" spans="1:12">
      <c r="A4" s="149" t="s">
        <v>39</v>
      </c>
      <c r="B4" s="149" t="s">
        <v>777</v>
      </c>
      <c r="C4" s="150" t="s">
        <v>71</v>
      </c>
      <c r="D4" s="150"/>
      <c r="E4" s="150"/>
      <c r="F4" s="150" t="s">
        <v>43</v>
      </c>
      <c r="G4" s="150"/>
      <c r="H4" s="150"/>
      <c r="I4" s="150"/>
      <c r="J4" s="150"/>
      <c r="K4" s="165"/>
      <c r="L4" s="150"/>
    </row>
    <row r="5" ht="20" customHeight="1" spans="1:12">
      <c r="A5" s="149"/>
      <c r="B5" s="149"/>
      <c r="C5" s="150" t="s">
        <v>41</v>
      </c>
      <c r="D5" s="150" t="s">
        <v>73</v>
      </c>
      <c r="E5" s="150" t="s">
        <v>74</v>
      </c>
      <c r="F5" s="150" t="s">
        <v>778</v>
      </c>
      <c r="G5" s="150" t="s">
        <v>779</v>
      </c>
      <c r="H5" s="150"/>
      <c r="I5" s="150"/>
      <c r="J5" s="150" t="s">
        <v>779</v>
      </c>
      <c r="K5" s="166" t="s">
        <v>45</v>
      </c>
      <c r="L5" s="149" t="s">
        <v>46</v>
      </c>
    </row>
    <row r="6" ht="30" customHeight="1" spans="1:12">
      <c r="A6" s="149"/>
      <c r="B6" s="149"/>
      <c r="C6" s="151"/>
      <c r="D6" s="150"/>
      <c r="E6" s="150"/>
      <c r="F6" s="151"/>
      <c r="G6" s="151" t="s">
        <v>780</v>
      </c>
      <c r="H6" s="152"/>
      <c r="I6" s="167"/>
      <c r="J6" s="150" t="s">
        <v>781</v>
      </c>
      <c r="K6" s="168"/>
      <c r="L6" s="169"/>
    </row>
    <row r="7" ht="30" customHeight="1" spans="1:16374">
      <c r="A7" s="149" t="s">
        <v>782</v>
      </c>
      <c r="B7" s="149"/>
      <c r="C7" s="153">
        <f t="shared" ref="C7:I7" si="0">C20+C40+C43+C11+C46+C29+C56+C60</f>
        <v>231207.025932</v>
      </c>
      <c r="D7" s="153">
        <f t="shared" si="0"/>
        <v>250909</v>
      </c>
      <c r="E7" s="153">
        <f>E8+E11+E20+E40+E43+E46+E56+E60+E63</f>
        <v>2740.93</v>
      </c>
      <c r="F7" s="153">
        <f>F8+F11+F20+F40+F43+F46+F56+F60+F63</f>
        <v>297772.63032</v>
      </c>
      <c r="G7" s="153">
        <f>G8+G11+G20+G46+G40+G63</f>
        <v>46866.86</v>
      </c>
      <c r="H7" s="154">
        <f t="shared" si="0"/>
        <v>47916.86</v>
      </c>
      <c r="I7" s="170">
        <f t="shared" si="0"/>
        <v>126370</v>
      </c>
      <c r="J7" s="153">
        <f t="shared" ref="J7:J12" si="1">F7-G7</f>
        <v>250905.77032</v>
      </c>
      <c r="K7" s="171">
        <f>K8+K11+K18+K20+K40+K43+K46+K56+K60+K63</f>
        <v>451551.390712</v>
      </c>
      <c r="L7" s="172">
        <f>F7/K7-1</f>
        <v>-0.34055649823052</v>
      </c>
      <c r="XET7">
        <f>SUM(A7:XES7)</f>
        <v>1706240.1267275</v>
      </c>
    </row>
    <row r="8" ht="45" customHeight="1" spans="1:12">
      <c r="A8" s="155">
        <v>207</v>
      </c>
      <c r="B8" s="155" t="s">
        <v>122</v>
      </c>
      <c r="C8" s="153">
        <v>0</v>
      </c>
      <c r="D8" s="153">
        <v>0</v>
      </c>
      <c r="E8" s="153">
        <f>E9</f>
        <v>0</v>
      </c>
      <c r="F8" s="153">
        <f>SUM(F9)</f>
        <v>0</v>
      </c>
      <c r="G8" s="153">
        <f>G9</f>
        <v>0</v>
      </c>
      <c r="H8" s="156"/>
      <c r="I8" s="173"/>
      <c r="J8" s="153">
        <f t="shared" si="1"/>
        <v>0</v>
      </c>
      <c r="K8" s="171">
        <v>0</v>
      </c>
      <c r="L8" s="172">
        <v>0</v>
      </c>
    </row>
    <row r="9" ht="45" customHeight="1" spans="1:12">
      <c r="A9" s="155">
        <v>20709</v>
      </c>
      <c r="B9" s="155" t="s">
        <v>783</v>
      </c>
      <c r="C9" s="153">
        <v>0</v>
      </c>
      <c r="D9" s="153">
        <v>0</v>
      </c>
      <c r="E9" s="153">
        <v>0</v>
      </c>
      <c r="F9" s="153">
        <f>SUM(F10)</f>
        <v>0</v>
      </c>
      <c r="G9" s="153">
        <f>SUM(G10)</f>
        <v>0</v>
      </c>
      <c r="H9" s="156"/>
      <c r="I9" s="173"/>
      <c r="J9" s="153">
        <f t="shared" si="1"/>
        <v>0</v>
      </c>
      <c r="K9" s="171">
        <v>0</v>
      </c>
      <c r="L9" s="172">
        <v>0</v>
      </c>
    </row>
    <row r="10" ht="45" customHeight="1" spans="1:12">
      <c r="A10" s="155">
        <v>2070904</v>
      </c>
      <c r="B10" s="155" t="s">
        <v>784</v>
      </c>
      <c r="C10" s="153">
        <v>0</v>
      </c>
      <c r="D10" s="153">
        <v>0</v>
      </c>
      <c r="E10" s="153">
        <v>0</v>
      </c>
      <c r="F10" s="153">
        <v>0</v>
      </c>
      <c r="G10" s="153">
        <v>0</v>
      </c>
      <c r="H10" s="156"/>
      <c r="I10" s="173"/>
      <c r="J10" s="153">
        <f t="shared" si="1"/>
        <v>0</v>
      </c>
      <c r="K10" s="171">
        <v>0</v>
      </c>
      <c r="L10" s="172">
        <v>0</v>
      </c>
    </row>
    <row r="11" ht="45" customHeight="1" spans="1:12">
      <c r="A11" s="157">
        <v>208</v>
      </c>
      <c r="B11" s="157" t="s">
        <v>128</v>
      </c>
      <c r="C11" s="158">
        <f>C12+C15</f>
        <v>0</v>
      </c>
      <c r="D11" s="158">
        <f t="shared" ref="D11:I11" si="2">D12+D15</f>
        <v>0</v>
      </c>
      <c r="E11" s="158">
        <f t="shared" si="2"/>
        <v>644.66</v>
      </c>
      <c r="F11" s="158">
        <f t="shared" si="2"/>
        <v>120.12</v>
      </c>
      <c r="G11" s="158">
        <f t="shared" si="2"/>
        <v>120.12</v>
      </c>
      <c r="H11" s="159">
        <f t="shared" ref="H11:H13" si="3">A11+G11</f>
        <v>328.12</v>
      </c>
      <c r="I11" s="174">
        <f t="shared" si="2"/>
        <v>359</v>
      </c>
      <c r="J11" s="153">
        <f t="shared" si="1"/>
        <v>0</v>
      </c>
      <c r="K11" s="171">
        <v>552.66</v>
      </c>
      <c r="L11" s="172">
        <f t="shared" ref="L9:L20" si="4">F11/K11-1</f>
        <v>-0.78265117793942</v>
      </c>
    </row>
    <row r="12" ht="45" customHeight="1" spans="1:12">
      <c r="A12" s="157">
        <v>20822</v>
      </c>
      <c r="B12" s="157" t="s">
        <v>785</v>
      </c>
      <c r="C12" s="158">
        <f>SUM(C13:C13)</f>
        <v>0</v>
      </c>
      <c r="D12" s="158">
        <f>SUM(D13:D13)</f>
        <v>0</v>
      </c>
      <c r="E12" s="158">
        <f>SUM(E13:E14)</f>
        <v>601.66</v>
      </c>
      <c r="F12" s="158">
        <f>SUM(F13:F14)</f>
        <v>120.12</v>
      </c>
      <c r="G12" s="158">
        <f>SUM(G13:G14)</f>
        <v>120.12</v>
      </c>
      <c r="H12" s="159">
        <f t="shared" si="3"/>
        <v>20942.12</v>
      </c>
      <c r="I12" s="174">
        <f>SUM(I13:I13)</f>
        <v>271</v>
      </c>
      <c r="J12" s="153">
        <f t="shared" si="1"/>
        <v>0</v>
      </c>
      <c r="K12" s="171">
        <v>552.66</v>
      </c>
      <c r="L12" s="172">
        <f t="shared" si="4"/>
        <v>-0.78265117793942</v>
      </c>
    </row>
    <row r="13" ht="45" customHeight="1" spans="1:12">
      <c r="A13" s="157">
        <v>2082201</v>
      </c>
      <c r="B13" s="157" t="s">
        <v>786</v>
      </c>
      <c r="C13" s="158">
        <v>0</v>
      </c>
      <c r="D13" s="158">
        <v>0</v>
      </c>
      <c r="E13" s="158">
        <v>372.66</v>
      </c>
      <c r="F13" s="160">
        <v>120.12</v>
      </c>
      <c r="G13" s="160">
        <v>120.12</v>
      </c>
      <c r="H13" s="159">
        <f t="shared" si="3"/>
        <v>2082321.12</v>
      </c>
      <c r="I13" s="174">
        <v>271</v>
      </c>
      <c r="J13" s="153">
        <v>0</v>
      </c>
      <c r="K13" s="175">
        <v>372.66</v>
      </c>
      <c r="L13" s="172">
        <f t="shared" si="4"/>
        <v>-0.677668652390919</v>
      </c>
    </row>
    <row r="14" ht="45" customHeight="1" spans="1:12">
      <c r="A14" s="157">
        <v>2082202</v>
      </c>
      <c r="B14" s="157" t="s">
        <v>787</v>
      </c>
      <c r="C14" s="158">
        <v>0</v>
      </c>
      <c r="D14" s="158">
        <v>0</v>
      </c>
      <c r="E14" s="158">
        <v>229</v>
      </c>
      <c r="F14" s="158">
        <v>0</v>
      </c>
      <c r="G14" s="158">
        <v>0</v>
      </c>
      <c r="H14" s="159"/>
      <c r="I14" s="174"/>
      <c r="J14" s="153">
        <f t="shared" ref="J14:J21" si="5">F14-G14</f>
        <v>0</v>
      </c>
      <c r="K14" s="175">
        <v>180</v>
      </c>
      <c r="L14" s="172">
        <f t="shared" si="4"/>
        <v>-1</v>
      </c>
    </row>
    <row r="15" ht="45" customHeight="1" spans="1:12">
      <c r="A15" s="157">
        <v>20823</v>
      </c>
      <c r="B15" s="157" t="s">
        <v>788</v>
      </c>
      <c r="C15" s="158">
        <f>SUM(C16:C17)</f>
        <v>0</v>
      </c>
      <c r="D15" s="158">
        <f t="shared" ref="D15:I15" si="6">SUM(D16:D17)</f>
        <v>0</v>
      </c>
      <c r="E15" s="158">
        <f t="shared" si="6"/>
        <v>43</v>
      </c>
      <c r="F15" s="158">
        <f t="shared" si="6"/>
        <v>0</v>
      </c>
      <c r="G15" s="158">
        <f t="shared" si="6"/>
        <v>0</v>
      </c>
      <c r="H15" s="159">
        <f>A15+G15</f>
        <v>20823</v>
      </c>
      <c r="I15" s="174">
        <f t="shared" si="6"/>
        <v>88</v>
      </c>
      <c r="J15" s="153">
        <f t="shared" si="5"/>
        <v>0</v>
      </c>
      <c r="K15" s="171">
        <v>0</v>
      </c>
      <c r="L15" s="172">
        <v>0</v>
      </c>
    </row>
    <row r="16" ht="45" customHeight="1" spans="1:12">
      <c r="A16" s="157">
        <v>2082302</v>
      </c>
      <c r="B16" s="157" t="s">
        <v>787</v>
      </c>
      <c r="C16" s="158">
        <v>0</v>
      </c>
      <c r="D16" s="158">
        <v>0</v>
      </c>
      <c r="E16" s="158">
        <v>43</v>
      </c>
      <c r="F16" s="158">
        <v>0</v>
      </c>
      <c r="G16" s="158">
        <v>0</v>
      </c>
      <c r="H16" s="159">
        <f>A16+G16</f>
        <v>2082302</v>
      </c>
      <c r="I16" s="174">
        <v>88</v>
      </c>
      <c r="J16" s="153">
        <f t="shared" si="5"/>
        <v>0</v>
      </c>
      <c r="K16" s="171">
        <v>0</v>
      </c>
      <c r="L16" s="172">
        <v>0</v>
      </c>
    </row>
    <row r="17" ht="45" customHeight="1" spans="1:12">
      <c r="A17" s="157">
        <v>2082399</v>
      </c>
      <c r="B17" s="157" t="s">
        <v>789</v>
      </c>
      <c r="C17" s="158">
        <v>0</v>
      </c>
      <c r="D17" s="158">
        <v>0</v>
      </c>
      <c r="E17" s="158">
        <v>0</v>
      </c>
      <c r="F17" s="158">
        <v>0</v>
      </c>
      <c r="G17" s="158">
        <v>0</v>
      </c>
      <c r="H17" s="159">
        <f>A17+G17</f>
        <v>2082399</v>
      </c>
      <c r="I17" s="174">
        <v>0</v>
      </c>
      <c r="J17" s="153">
        <f t="shared" si="5"/>
        <v>0</v>
      </c>
      <c r="K17" s="171">
        <v>0</v>
      </c>
      <c r="L17" s="172">
        <v>0</v>
      </c>
    </row>
    <row r="18" ht="45" customHeight="1" spans="1:12">
      <c r="A18" s="157">
        <v>209</v>
      </c>
      <c r="B18" s="157" t="s">
        <v>790</v>
      </c>
      <c r="C18" s="158">
        <v>0</v>
      </c>
      <c r="D18" s="158">
        <v>0</v>
      </c>
      <c r="E18" s="158">
        <v>0</v>
      </c>
      <c r="F18" s="158">
        <f>SUM(F19)</f>
        <v>0</v>
      </c>
      <c r="G18" s="158">
        <f>SUM(G19)</f>
        <v>0</v>
      </c>
      <c r="H18" s="159"/>
      <c r="I18" s="174"/>
      <c r="J18" s="153">
        <f t="shared" si="5"/>
        <v>0</v>
      </c>
      <c r="K18" s="171">
        <v>13150.856919</v>
      </c>
      <c r="L18" s="172">
        <f t="shared" si="4"/>
        <v>-1</v>
      </c>
    </row>
    <row r="19" ht="45" customHeight="1" spans="1:12">
      <c r="A19" s="157">
        <v>20999</v>
      </c>
      <c r="B19" s="157" t="s">
        <v>791</v>
      </c>
      <c r="C19" s="158">
        <v>0</v>
      </c>
      <c r="D19" s="158">
        <v>0</v>
      </c>
      <c r="E19" s="158">
        <v>0</v>
      </c>
      <c r="F19" s="158">
        <v>0</v>
      </c>
      <c r="G19" s="158">
        <v>0</v>
      </c>
      <c r="H19" s="159"/>
      <c r="I19" s="174"/>
      <c r="J19" s="153">
        <f t="shared" si="5"/>
        <v>0</v>
      </c>
      <c r="K19" s="171">
        <v>13150.856919</v>
      </c>
      <c r="L19" s="172">
        <f t="shared" si="4"/>
        <v>-1</v>
      </c>
    </row>
    <row r="20" ht="45" customHeight="1" spans="1:12">
      <c r="A20" s="157">
        <v>212</v>
      </c>
      <c r="B20" s="157" t="s">
        <v>169</v>
      </c>
      <c r="C20" s="158">
        <f>C21+C32+C31+C36+C38</f>
        <v>217107.025932</v>
      </c>
      <c r="D20" s="158">
        <f>D21+D29+D31+D32+D36+D38</f>
        <v>236227</v>
      </c>
      <c r="E20" s="158">
        <f>E21+E32+E31+E36</f>
        <v>0</v>
      </c>
      <c r="F20" s="158">
        <f>F21+F29+F31+F32+F36+F38</f>
        <v>236383.580246</v>
      </c>
      <c r="G20" s="158">
        <f>G21+G29+G31+G32+G36+G38</f>
        <v>0</v>
      </c>
      <c r="H20" s="159">
        <f t="shared" ref="H20:H28" si="7">A20+G20</f>
        <v>212</v>
      </c>
      <c r="I20" s="174">
        <f>I21+I32+I31+I36</f>
        <v>117152</v>
      </c>
      <c r="J20" s="153">
        <f t="shared" si="5"/>
        <v>236383.580246</v>
      </c>
      <c r="K20" s="171">
        <v>310095.550437</v>
      </c>
      <c r="L20" s="172">
        <f t="shared" si="4"/>
        <v>-0.237707281149703</v>
      </c>
    </row>
    <row r="21" ht="45" customHeight="1" spans="1:12">
      <c r="A21" s="157">
        <v>21208</v>
      </c>
      <c r="B21" s="157" t="s">
        <v>792</v>
      </c>
      <c r="C21" s="158">
        <f>SUM(C22:C28)</f>
        <v>209004.418532</v>
      </c>
      <c r="D21" s="158">
        <f t="shared" ref="D21:I21" si="8">SUM(D22:D28)</f>
        <v>228124</v>
      </c>
      <c r="E21" s="158">
        <f t="shared" si="8"/>
        <v>0</v>
      </c>
      <c r="F21" s="158">
        <f t="shared" si="8"/>
        <v>234456.435686</v>
      </c>
      <c r="G21" s="158">
        <v>0</v>
      </c>
      <c r="H21" s="159">
        <f t="shared" si="7"/>
        <v>21208</v>
      </c>
      <c r="I21" s="174">
        <f t="shared" si="8"/>
        <v>115071</v>
      </c>
      <c r="J21" s="153">
        <f t="shared" si="5"/>
        <v>234456.435686</v>
      </c>
      <c r="K21" s="171">
        <v>308324.658802</v>
      </c>
      <c r="L21" s="172">
        <f t="shared" ref="L21:L40" si="9">F21/K21-1</f>
        <v>-0.23957935574474</v>
      </c>
    </row>
    <row r="22" ht="45" customHeight="1" spans="1:12">
      <c r="A22" s="157">
        <v>2120801</v>
      </c>
      <c r="B22" s="157" t="s">
        <v>793</v>
      </c>
      <c r="C22" s="158">
        <v>105860.23</v>
      </c>
      <c r="D22" s="158">
        <v>113149</v>
      </c>
      <c r="E22" s="158">
        <v>0</v>
      </c>
      <c r="F22" s="160">
        <v>80709.929222</v>
      </c>
      <c r="G22" s="158">
        <v>0</v>
      </c>
      <c r="H22" s="159">
        <f t="shared" si="7"/>
        <v>2120801</v>
      </c>
      <c r="I22" s="174">
        <v>84543</v>
      </c>
      <c r="J22" s="160">
        <v>80709.929222</v>
      </c>
      <c r="K22" s="176">
        <v>62103.912552</v>
      </c>
      <c r="L22" s="172">
        <f t="shared" si="9"/>
        <v>0.299594919312387</v>
      </c>
    </row>
    <row r="23" ht="45" customHeight="1" spans="1:14">
      <c r="A23" s="157">
        <v>2120802</v>
      </c>
      <c r="B23" s="157" t="s">
        <v>794</v>
      </c>
      <c r="C23" s="158">
        <v>10616</v>
      </c>
      <c r="D23" s="158">
        <v>13349</v>
      </c>
      <c r="E23" s="158">
        <v>0</v>
      </c>
      <c r="F23" s="160">
        <v>14940.614481</v>
      </c>
      <c r="G23" s="158">
        <v>0</v>
      </c>
      <c r="H23" s="159">
        <f t="shared" si="7"/>
        <v>2120802</v>
      </c>
      <c r="I23" s="174">
        <v>14864</v>
      </c>
      <c r="J23" s="160">
        <v>14940.614481</v>
      </c>
      <c r="K23" s="176">
        <v>230657.149795</v>
      </c>
      <c r="L23" s="172">
        <f t="shared" si="9"/>
        <v>-0.93522587747972</v>
      </c>
      <c r="N23" s="177"/>
    </row>
    <row r="24" ht="45" customHeight="1" spans="1:12">
      <c r="A24" s="157">
        <v>2120803</v>
      </c>
      <c r="B24" s="157" t="s">
        <v>795</v>
      </c>
      <c r="C24" s="158">
        <v>80143.47</v>
      </c>
      <c r="D24" s="158">
        <v>88407</v>
      </c>
      <c r="E24" s="158">
        <v>0</v>
      </c>
      <c r="F24" s="160">
        <v>133618.7879</v>
      </c>
      <c r="G24" s="158">
        <v>0</v>
      </c>
      <c r="H24" s="159">
        <f t="shared" si="7"/>
        <v>2120803</v>
      </c>
      <c r="I24" s="174">
        <v>6932</v>
      </c>
      <c r="J24" s="160">
        <v>133618.7879</v>
      </c>
      <c r="K24" s="171">
        <v>0</v>
      </c>
      <c r="L24" s="172">
        <v>0</v>
      </c>
    </row>
    <row r="25" ht="45" customHeight="1" spans="1:12">
      <c r="A25" s="157">
        <v>2120804</v>
      </c>
      <c r="B25" s="157" t="s">
        <v>796</v>
      </c>
      <c r="C25" s="158">
        <v>1000</v>
      </c>
      <c r="D25" s="158">
        <v>1277</v>
      </c>
      <c r="E25" s="158">
        <v>0</v>
      </c>
      <c r="F25" s="160">
        <v>276.668585</v>
      </c>
      <c r="G25" s="158">
        <v>0</v>
      </c>
      <c r="H25" s="159">
        <f t="shared" si="7"/>
        <v>2120804</v>
      </c>
      <c r="I25" s="174">
        <v>0</v>
      </c>
      <c r="J25" s="160">
        <v>276.668585</v>
      </c>
      <c r="K25" s="175">
        <v>4291.0759</v>
      </c>
      <c r="L25" s="172">
        <f t="shared" si="9"/>
        <v>-0.935524658279757</v>
      </c>
    </row>
    <row r="26" ht="45" customHeight="1" spans="1:12">
      <c r="A26" s="157">
        <v>2120806</v>
      </c>
      <c r="B26" s="157" t="s">
        <v>797</v>
      </c>
      <c r="C26" s="158">
        <v>500</v>
      </c>
      <c r="D26" s="158">
        <v>500</v>
      </c>
      <c r="E26" s="158">
        <v>0</v>
      </c>
      <c r="F26" s="160">
        <v>200</v>
      </c>
      <c r="G26" s="158">
        <v>0</v>
      </c>
      <c r="H26" s="159">
        <f t="shared" si="7"/>
        <v>2120806</v>
      </c>
      <c r="I26" s="174">
        <v>7</v>
      </c>
      <c r="J26" s="160">
        <v>200</v>
      </c>
      <c r="K26" s="175">
        <v>269.12895</v>
      </c>
      <c r="L26" s="172">
        <f t="shared" si="9"/>
        <v>-0.256861812896754</v>
      </c>
    </row>
    <row r="27" ht="45" customHeight="1" spans="1:12">
      <c r="A27" s="157">
        <v>2120811</v>
      </c>
      <c r="B27" s="157" t="s">
        <v>798</v>
      </c>
      <c r="C27" s="158">
        <v>0</v>
      </c>
      <c r="D27" s="158">
        <v>0</v>
      </c>
      <c r="E27" s="158">
        <v>0</v>
      </c>
      <c r="F27" s="160">
        <v>0</v>
      </c>
      <c r="G27" s="158">
        <v>0</v>
      </c>
      <c r="H27" s="159">
        <f t="shared" si="7"/>
        <v>2120811</v>
      </c>
      <c r="I27" s="174">
        <v>155</v>
      </c>
      <c r="J27" s="160">
        <f>(F27-G27)/10000</f>
        <v>0</v>
      </c>
      <c r="K27" s="171">
        <v>0</v>
      </c>
      <c r="L27" s="172">
        <v>0</v>
      </c>
    </row>
    <row r="28" ht="45" customHeight="1" spans="1:12">
      <c r="A28" s="157">
        <v>2120899</v>
      </c>
      <c r="B28" s="157" t="s">
        <v>799</v>
      </c>
      <c r="C28" s="158">
        <v>10884.718532</v>
      </c>
      <c r="D28" s="158">
        <v>11442</v>
      </c>
      <c r="E28" s="158">
        <v>0</v>
      </c>
      <c r="F28" s="160">
        <v>4710.435498</v>
      </c>
      <c r="G28" s="158">
        <v>0</v>
      </c>
      <c r="H28" s="159">
        <f t="shared" si="7"/>
        <v>2120899</v>
      </c>
      <c r="I28" s="174">
        <v>8570</v>
      </c>
      <c r="J28" s="160">
        <v>4710.435498</v>
      </c>
      <c r="K28" s="178">
        <v>11003.391605</v>
      </c>
      <c r="L28" s="172">
        <f t="shared" si="9"/>
        <v>-0.571910582927944</v>
      </c>
    </row>
    <row r="29" ht="45" customHeight="1" spans="1:12">
      <c r="A29" s="157">
        <v>21209</v>
      </c>
      <c r="B29" s="157" t="s">
        <v>800</v>
      </c>
      <c r="C29" s="158">
        <f t="shared" ref="C29:I29" si="10">SUM(C30)</f>
        <v>0</v>
      </c>
      <c r="D29" s="158">
        <f t="shared" si="10"/>
        <v>0</v>
      </c>
      <c r="E29" s="158">
        <f t="shared" si="10"/>
        <v>0</v>
      </c>
      <c r="F29" s="158">
        <v>0</v>
      </c>
      <c r="G29" s="158">
        <v>0</v>
      </c>
      <c r="H29" s="161">
        <f t="shared" si="10"/>
        <v>0</v>
      </c>
      <c r="I29" s="174">
        <f t="shared" si="10"/>
        <v>0</v>
      </c>
      <c r="J29" s="153">
        <f>F29-G29</f>
        <v>0</v>
      </c>
      <c r="K29" s="171">
        <v>0</v>
      </c>
      <c r="L29" s="172">
        <v>0</v>
      </c>
    </row>
    <row r="30" ht="45" customHeight="1" spans="1:12">
      <c r="A30" s="157">
        <v>2120902</v>
      </c>
      <c r="B30" s="157" t="s">
        <v>801</v>
      </c>
      <c r="C30" s="158">
        <v>0</v>
      </c>
      <c r="D30" s="158">
        <v>0</v>
      </c>
      <c r="E30" s="158">
        <v>0</v>
      </c>
      <c r="F30" s="158">
        <v>0</v>
      </c>
      <c r="G30" s="158">
        <v>0</v>
      </c>
      <c r="H30" s="159"/>
      <c r="I30" s="174"/>
      <c r="J30" s="153">
        <f>F30-G30</f>
        <v>0</v>
      </c>
      <c r="K30" s="171">
        <v>0</v>
      </c>
      <c r="L30" s="172">
        <v>0</v>
      </c>
    </row>
    <row r="31" ht="45" customHeight="1" spans="1:12">
      <c r="A31" s="157">
        <v>21211</v>
      </c>
      <c r="B31" s="157" t="s">
        <v>802</v>
      </c>
      <c r="C31" s="158">
        <v>0</v>
      </c>
      <c r="D31" s="158">
        <v>0</v>
      </c>
      <c r="E31" s="158">
        <v>0</v>
      </c>
      <c r="F31" s="158">
        <v>0</v>
      </c>
      <c r="G31" s="158">
        <v>0</v>
      </c>
      <c r="H31" s="159">
        <f t="shared" ref="H31:H37" si="11">A31+G31</f>
        <v>21211</v>
      </c>
      <c r="I31" s="174">
        <v>787</v>
      </c>
      <c r="J31" s="153">
        <f>F31-G31</f>
        <v>0</v>
      </c>
      <c r="K31" s="171">
        <v>0</v>
      </c>
      <c r="L31" s="172">
        <v>0</v>
      </c>
    </row>
    <row r="32" ht="45" customHeight="1" spans="1:12">
      <c r="A32" s="157">
        <v>21213</v>
      </c>
      <c r="B32" s="157" t="s">
        <v>803</v>
      </c>
      <c r="C32" s="158">
        <f>C33+C34+C35</f>
        <v>3259.8074</v>
      </c>
      <c r="D32" s="158">
        <f>SUM(D33:D35)</f>
        <v>3260</v>
      </c>
      <c r="E32" s="158">
        <v>0</v>
      </c>
      <c r="F32" s="158">
        <f>SUM(F33:F34)</f>
        <v>1715.96906</v>
      </c>
      <c r="G32" s="158">
        <v>0</v>
      </c>
      <c r="H32" s="159">
        <f t="shared" si="11"/>
        <v>21213</v>
      </c>
      <c r="I32" s="174">
        <f>SUM(I33:I35)</f>
        <v>570</v>
      </c>
      <c r="J32" s="153">
        <f>F32-G32</f>
        <v>1715.96906</v>
      </c>
      <c r="K32" s="171">
        <v>1438.434096</v>
      </c>
      <c r="L32" s="172">
        <f t="shared" si="9"/>
        <v>0.192942425914242</v>
      </c>
    </row>
    <row r="33" ht="45" customHeight="1" spans="1:12">
      <c r="A33" s="157">
        <v>2121301</v>
      </c>
      <c r="B33" s="157" t="s">
        <v>804</v>
      </c>
      <c r="C33" s="158">
        <v>3259.8074</v>
      </c>
      <c r="D33" s="158">
        <v>3260</v>
      </c>
      <c r="E33" s="158">
        <v>0</v>
      </c>
      <c r="F33" s="160">
        <v>10.775178</v>
      </c>
      <c r="G33" s="158">
        <v>0</v>
      </c>
      <c r="H33" s="159">
        <f t="shared" si="11"/>
        <v>2121301</v>
      </c>
      <c r="I33" s="174">
        <v>378</v>
      </c>
      <c r="J33" s="160">
        <v>10.775178</v>
      </c>
      <c r="K33" s="171">
        <v>0</v>
      </c>
      <c r="L33" s="172">
        <v>0</v>
      </c>
    </row>
    <row r="34" ht="45" customHeight="1" spans="1:12">
      <c r="A34" s="157">
        <v>2121302</v>
      </c>
      <c r="B34" s="157" t="s">
        <v>801</v>
      </c>
      <c r="C34" s="158">
        <v>0</v>
      </c>
      <c r="D34" s="158">
        <v>0</v>
      </c>
      <c r="E34" s="158">
        <v>0</v>
      </c>
      <c r="F34" s="160">
        <v>1705.193882</v>
      </c>
      <c r="G34" s="158">
        <v>0</v>
      </c>
      <c r="H34" s="159">
        <f t="shared" si="11"/>
        <v>2121302</v>
      </c>
      <c r="I34" s="174">
        <v>191</v>
      </c>
      <c r="J34" s="160">
        <v>1705.193882</v>
      </c>
      <c r="K34" s="178">
        <v>1438.434096</v>
      </c>
      <c r="L34" s="172">
        <f t="shared" si="9"/>
        <v>0.185451517550791</v>
      </c>
    </row>
    <row r="35" ht="45" customHeight="1" spans="1:12">
      <c r="A35" s="157">
        <v>2121399</v>
      </c>
      <c r="B35" s="157" t="s">
        <v>805</v>
      </c>
      <c r="C35" s="158">
        <v>0</v>
      </c>
      <c r="D35" s="158">
        <v>0</v>
      </c>
      <c r="E35" s="158">
        <v>0</v>
      </c>
      <c r="F35" s="158">
        <v>0</v>
      </c>
      <c r="G35" s="158">
        <v>0</v>
      </c>
      <c r="H35" s="159">
        <f t="shared" si="11"/>
        <v>2121399</v>
      </c>
      <c r="I35" s="174">
        <v>1</v>
      </c>
      <c r="J35" s="153">
        <f>F35-G35</f>
        <v>0</v>
      </c>
      <c r="K35" s="171">
        <v>0</v>
      </c>
      <c r="L35" s="172">
        <v>0</v>
      </c>
    </row>
    <row r="36" ht="45" customHeight="1" spans="1:12">
      <c r="A36" s="157">
        <v>21214</v>
      </c>
      <c r="B36" s="157" t="s">
        <v>806</v>
      </c>
      <c r="C36" s="158">
        <f>SUM(C37)</f>
        <v>1904.8</v>
      </c>
      <c r="D36" s="158">
        <f>SUM(D37)</f>
        <v>1905</v>
      </c>
      <c r="E36" s="158">
        <f>SUM(E37:E37)</f>
        <v>0</v>
      </c>
      <c r="F36" s="158">
        <f>SUM(F37)</f>
        <v>211.1755</v>
      </c>
      <c r="G36" s="158">
        <v>0</v>
      </c>
      <c r="H36" s="159">
        <f t="shared" si="11"/>
        <v>21214</v>
      </c>
      <c r="I36" s="174">
        <f>SUM(I37:I37)</f>
        <v>724</v>
      </c>
      <c r="J36" s="153">
        <f>F36-G36</f>
        <v>211.1755</v>
      </c>
      <c r="K36" s="171">
        <v>332.457539</v>
      </c>
      <c r="L36" s="172">
        <f t="shared" si="9"/>
        <v>-0.364804598400158</v>
      </c>
    </row>
    <row r="37" ht="45" customHeight="1" spans="1:12">
      <c r="A37" s="157">
        <v>2121401</v>
      </c>
      <c r="B37" s="157" t="s">
        <v>807</v>
      </c>
      <c r="C37" s="158">
        <v>1904.8</v>
      </c>
      <c r="D37" s="158">
        <v>1905</v>
      </c>
      <c r="E37" s="158">
        <v>0</v>
      </c>
      <c r="F37" s="162">
        <v>211.1755</v>
      </c>
      <c r="G37" s="158">
        <v>0</v>
      </c>
      <c r="H37" s="159">
        <f t="shared" si="11"/>
        <v>2121401</v>
      </c>
      <c r="I37" s="174">
        <v>724</v>
      </c>
      <c r="J37" s="160">
        <v>211.1755</v>
      </c>
      <c r="K37" s="175">
        <v>332.457539</v>
      </c>
      <c r="L37" s="172">
        <f t="shared" si="9"/>
        <v>-0.364804598400158</v>
      </c>
    </row>
    <row r="38" ht="45" customHeight="1" spans="1:12">
      <c r="A38" s="157">
        <v>21215</v>
      </c>
      <c r="B38" s="157" t="s">
        <v>808</v>
      </c>
      <c r="C38" s="158">
        <f>SUM(C39)</f>
        <v>2938</v>
      </c>
      <c r="D38" s="158">
        <f>SUM(D39)</f>
        <v>2938</v>
      </c>
      <c r="E38" s="158">
        <v>0</v>
      </c>
      <c r="F38" s="158">
        <v>0</v>
      </c>
      <c r="G38" s="158">
        <v>0</v>
      </c>
      <c r="H38" s="159"/>
      <c r="I38" s="174"/>
      <c r="J38" s="153">
        <f>F38-G38</f>
        <v>0</v>
      </c>
      <c r="K38" s="171">
        <v>0</v>
      </c>
      <c r="L38" s="172">
        <v>0</v>
      </c>
    </row>
    <row r="39" ht="45" customHeight="1" spans="1:12">
      <c r="A39" s="157">
        <v>2121502</v>
      </c>
      <c r="B39" s="157" t="s">
        <v>809</v>
      </c>
      <c r="C39" s="158">
        <v>2938</v>
      </c>
      <c r="D39" s="158">
        <v>2938</v>
      </c>
      <c r="E39" s="158">
        <v>0</v>
      </c>
      <c r="F39" s="158">
        <v>0</v>
      </c>
      <c r="G39" s="158">
        <v>0</v>
      </c>
      <c r="H39" s="159"/>
      <c r="I39" s="174"/>
      <c r="J39" s="153">
        <f>F39-G39</f>
        <v>0</v>
      </c>
      <c r="K39" s="171">
        <v>0</v>
      </c>
      <c r="L39" s="172">
        <v>0</v>
      </c>
    </row>
    <row r="40" ht="45" customHeight="1" spans="1:12">
      <c r="A40" s="157">
        <v>213</v>
      </c>
      <c r="B40" s="157" t="s">
        <v>174</v>
      </c>
      <c r="C40" s="158">
        <v>0</v>
      </c>
      <c r="D40" s="158">
        <f t="shared" ref="D40:I40" si="12">D41</f>
        <v>0</v>
      </c>
      <c r="E40" s="158">
        <f t="shared" si="12"/>
        <v>590.96</v>
      </c>
      <c r="F40" s="158">
        <v>0</v>
      </c>
      <c r="G40" s="158">
        <v>0</v>
      </c>
      <c r="H40" s="159">
        <f t="shared" ref="H40:H47" si="13">A40+G40</f>
        <v>213</v>
      </c>
      <c r="I40" s="174">
        <f t="shared" si="12"/>
        <v>129</v>
      </c>
      <c r="J40" s="153">
        <f>F40-G40</f>
        <v>0</v>
      </c>
      <c r="K40" s="171">
        <v>520</v>
      </c>
      <c r="L40" s="172">
        <f t="shared" si="9"/>
        <v>-1</v>
      </c>
    </row>
    <row r="41" ht="45" customHeight="1" spans="1:12">
      <c r="A41" s="157">
        <v>21366</v>
      </c>
      <c r="B41" s="157" t="s">
        <v>810</v>
      </c>
      <c r="C41" s="158">
        <v>0</v>
      </c>
      <c r="D41" s="158">
        <f t="shared" ref="D41:I41" si="14">SUM(D42:D42)</f>
        <v>0</v>
      </c>
      <c r="E41" s="158">
        <f t="shared" si="14"/>
        <v>590.96</v>
      </c>
      <c r="F41" s="158">
        <v>0</v>
      </c>
      <c r="G41" s="158">
        <v>0</v>
      </c>
      <c r="H41" s="159">
        <f t="shared" si="13"/>
        <v>21366</v>
      </c>
      <c r="I41" s="174">
        <f t="shared" si="14"/>
        <v>129</v>
      </c>
      <c r="J41" s="153">
        <f t="shared" ref="J41:J70" si="15">F41-G41</f>
        <v>0</v>
      </c>
      <c r="K41" s="171">
        <v>520</v>
      </c>
      <c r="L41" s="172">
        <f t="shared" ref="L41:L70" si="16">F41/K41-1</f>
        <v>-1</v>
      </c>
    </row>
    <row r="42" ht="45" customHeight="1" spans="1:12">
      <c r="A42" s="157">
        <v>2136601</v>
      </c>
      <c r="B42" s="157" t="s">
        <v>787</v>
      </c>
      <c r="C42" s="158">
        <v>0</v>
      </c>
      <c r="D42" s="158">
        <v>0</v>
      </c>
      <c r="E42" s="158">
        <v>590.96</v>
      </c>
      <c r="F42" s="158">
        <v>0</v>
      </c>
      <c r="G42" s="158">
        <v>0</v>
      </c>
      <c r="H42" s="159">
        <f t="shared" si="13"/>
        <v>2136601</v>
      </c>
      <c r="I42" s="174">
        <v>129</v>
      </c>
      <c r="J42" s="153">
        <f t="shared" si="15"/>
        <v>0</v>
      </c>
      <c r="K42" s="171">
        <v>520</v>
      </c>
      <c r="L42" s="172">
        <f t="shared" si="16"/>
        <v>-1</v>
      </c>
    </row>
    <row r="43" ht="45" customHeight="1" spans="1:12">
      <c r="A43" s="157">
        <v>216</v>
      </c>
      <c r="B43" s="157" t="s">
        <v>194</v>
      </c>
      <c r="C43" s="158">
        <v>0</v>
      </c>
      <c r="D43" s="158">
        <f t="shared" ref="D43:I43" si="17">D44</f>
        <v>0</v>
      </c>
      <c r="E43" s="158">
        <f t="shared" si="17"/>
        <v>0</v>
      </c>
      <c r="F43" s="158">
        <v>0</v>
      </c>
      <c r="G43" s="158">
        <v>0</v>
      </c>
      <c r="H43" s="159">
        <f t="shared" si="13"/>
        <v>216</v>
      </c>
      <c r="I43" s="174">
        <f t="shared" si="17"/>
        <v>47</v>
      </c>
      <c r="J43" s="153">
        <f t="shared" si="15"/>
        <v>0</v>
      </c>
      <c r="K43" s="171">
        <v>0</v>
      </c>
      <c r="L43" s="172">
        <v>0</v>
      </c>
    </row>
    <row r="44" ht="45" customHeight="1" spans="1:12">
      <c r="A44" s="157">
        <v>21660</v>
      </c>
      <c r="B44" s="157" t="s">
        <v>783</v>
      </c>
      <c r="C44" s="158">
        <v>0</v>
      </c>
      <c r="D44" s="158">
        <f t="shared" ref="D44:I44" si="18">SUM(D45:D45)</f>
        <v>0</v>
      </c>
      <c r="E44" s="158">
        <f t="shared" si="18"/>
        <v>0</v>
      </c>
      <c r="F44" s="158">
        <v>0</v>
      </c>
      <c r="G44" s="158">
        <v>0</v>
      </c>
      <c r="H44" s="159">
        <f t="shared" si="13"/>
        <v>21660</v>
      </c>
      <c r="I44" s="174">
        <f t="shared" si="18"/>
        <v>47</v>
      </c>
      <c r="J44" s="153">
        <f t="shared" si="15"/>
        <v>0</v>
      </c>
      <c r="K44" s="171">
        <v>0</v>
      </c>
      <c r="L44" s="172">
        <v>0</v>
      </c>
    </row>
    <row r="45" ht="45" customHeight="1" spans="1:12">
      <c r="A45" s="157">
        <v>2166004</v>
      </c>
      <c r="B45" s="157" t="s">
        <v>784</v>
      </c>
      <c r="C45" s="158">
        <v>0</v>
      </c>
      <c r="D45" s="158">
        <v>0</v>
      </c>
      <c r="E45" s="158">
        <v>0</v>
      </c>
      <c r="F45" s="158">
        <v>0</v>
      </c>
      <c r="G45" s="158">
        <v>0</v>
      </c>
      <c r="H45" s="159">
        <f t="shared" si="13"/>
        <v>2166004</v>
      </c>
      <c r="I45" s="174">
        <v>47</v>
      </c>
      <c r="J45" s="153">
        <f t="shared" si="15"/>
        <v>0</v>
      </c>
      <c r="K45" s="171">
        <v>0</v>
      </c>
      <c r="L45" s="172">
        <v>0</v>
      </c>
    </row>
    <row r="46" ht="45" customHeight="1" spans="1:12">
      <c r="A46" s="157">
        <v>229</v>
      </c>
      <c r="B46" s="157" t="s">
        <v>276</v>
      </c>
      <c r="C46" s="158">
        <v>0</v>
      </c>
      <c r="D46" s="158">
        <f t="shared" ref="D46:I46" si="19">D47+D49</f>
        <v>0</v>
      </c>
      <c r="E46" s="158">
        <f t="shared" si="19"/>
        <v>576.31</v>
      </c>
      <c r="F46" s="158">
        <f t="shared" si="19"/>
        <v>46253.74</v>
      </c>
      <c r="G46" s="158">
        <f t="shared" si="19"/>
        <v>46253.74</v>
      </c>
      <c r="H46" s="159">
        <f t="shared" si="13"/>
        <v>46482.74</v>
      </c>
      <c r="I46" s="174">
        <f t="shared" si="19"/>
        <v>879</v>
      </c>
      <c r="J46" s="153">
        <f t="shared" si="15"/>
        <v>0</v>
      </c>
      <c r="K46" s="171">
        <v>104422.269732</v>
      </c>
      <c r="L46" s="172">
        <f t="shared" si="16"/>
        <v>-0.557050999574034</v>
      </c>
    </row>
    <row r="47" ht="45" customHeight="1" spans="1:12">
      <c r="A47" s="157">
        <v>22904</v>
      </c>
      <c r="B47" s="157" t="s">
        <v>811</v>
      </c>
      <c r="C47" s="158">
        <v>0</v>
      </c>
      <c r="D47" s="158">
        <v>0</v>
      </c>
      <c r="E47" s="158">
        <v>0</v>
      </c>
      <c r="F47" s="158">
        <f>SUM(F48)</f>
        <v>46093</v>
      </c>
      <c r="G47" s="158">
        <f>SUM(G48)</f>
        <v>46093</v>
      </c>
      <c r="H47" s="159">
        <f t="shared" si="13"/>
        <v>68997</v>
      </c>
      <c r="I47" s="174">
        <v>0</v>
      </c>
      <c r="J47" s="153">
        <f t="shared" si="15"/>
        <v>0</v>
      </c>
      <c r="K47" s="171">
        <f>K48</f>
        <v>103752</v>
      </c>
      <c r="L47" s="172">
        <f t="shared" si="16"/>
        <v>-0.555738684555478</v>
      </c>
    </row>
    <row r="48" ht="45" customHeight="1" spans="1:12">
      <c r="A48" s="157">
        <v>2290402</v>
      </c>
      <c r="B48" s="157" t="s">
        <v>812</v>
      </c>
      <c r="C48" s="158">
        <v>0</v>
      </c>
      <c r="D48" s="158">
        <v>0</v>
      </c>
      <c r="E48" s="158">
        <v>0</v>
      </c>
      <c r="F48" s="158">
        <v>46093</v>
      </c>
      <c r="G48" s="162">
        <v>46093</v>
      </c>
      <c r="H48" s="159"/>
      <c r="I48" s="174"/>
      <c r="J48" s="153">
        <f t="shared" si="15"/>
        <v>0</v>
      </c>
      <c r="K48" s="171">
        <v>103752</v>
      </c>
      <c r="L48" s="172">
        <f t="shared" si="16"/>
        <v>-0.555738684555478</v>
      </c>
    </row>
    <row r="49" ht="45" customHeight="1" spans="1:12">
      <c r="A49" s="157">
        <v>22960</v>
      </c>
      <c r="B49" s="157" t="s">
        <v>813</v>
      </c>
      <c r="C49" s="158">
        <v>0</v>
      </c>
      <c r="D49" s="158">
        <f>SUM(D50:D54)</f>
        <v>0</v>
      </c>
      <c r="E49" s="158">
        <f>SUM(E50:E55)</f>
        <v>576.31</v>
      </c>
      <c r="F49" s="158">
        <f>SUM(F50:F55)</f>
        <v>160.74</v>
      </c>
      <c r="G49" s="158">
        <f>SUM(G50:G55)</f>
        <v>160.74</v>
      </c>
      <c r="H49" s="159">
        <f>A49+G49</f>
        <v>23120.74</v>
      </c>
      <c r="I49" s="174">
        <f>SUM(I50:I54)</f>
        <v>879</v>
      </c>
      <c r="J49" s="153">
        <f t="shared" si="15"/>
        <v>0</v>
      </c>
      <c r="K49" s="171">
        <v>670.269732</v>
      </c>
      <c r="L49" s="172">
        <f t="shared" si="16"/>
        <v>-0.760186097736545</v>
      </c>
    </row>
    <row r="50" ht="45" customHeight="1" spans="1:12">
      <c r="A50" s="157">
        <v>2296002</v>
      </c>
      <c r="B50" s="157" t="s">
        <v>814</v>
      </c>
      <c r="C50" s="158">
        <v>0</v>
      </c>
      <c r="D50" s="158">
        <v>0</v>
      </c>
      <c r="E50" s="158">
        <v>136.4</v>
      </c>
      <c r="F50" s="158">
        <v>39.21</v>
      </c>
      <c r="G50" s="160">
        <v>39.21</v>
      </c>
      <c r="H50" s="159">
        <f>A50+G50</f>
        <v>2296041.21</v>
      </c>
      <c r="I50" s="174">
        <v>370</v>
      </c>
      <c r="J50" s="153">
        <v>0</v>
      </c>
      <c r="K50" s="171">
        <v>103.569732</v>
      </c>
      <c r="L50" s="172">
        <f t="shared" si="16"/>
        <v>-0.621414488163395</v>
      </c>
    </row>
    <row r="51" ht="45" customHeight="1" spans="1:12">
      <c r="A51" s="157">
        <v>2296003</v>
      </c>
      <c r="B51" s="157" t="s">
        <v>815</v>
      </c>
      <c r="C51" s="158">
        <v>0</v>
      </c>
      <c r="D51" s="158">
        <v>0</v>
      </c>
      <c r="E51" s="158">
        <v>274.38</v>
      </c>
      <c r="F51" s="158">
        <v>20</v>
      </c>
      <c r="G51" s="160">
        <v>20</v>
      </c>
      <c r="H51" s="159">
        <f t="shared" ref="H51:H57" si="20">A51+G51</f>
        <v>2296023</v>
      </c>
      <c r="I51" s="174">
        <v>362</v>
      </c>
      <c r="J51" s="153">
        <f t="shared" si="15"/>
        <v>0</v>
      </c>
      <c r="K51" s="171">
        <v>129.6</v>
      </c>
      <c r="L51" s="172">
        <f t="shared" si="16"/>
        <v>-0.845679012345679</v>
      </c>
    </row>
    <row r="52" ht="45" customHeight="1" spans="1:12">
      <c r="A52" s="157">
        <v>2296004</v>
      </c>
      <c r="B52" s="157" t="s">
        <v>816</v>
      </c>
      <c r="C52" s="158">
        <v>0</v>
      </c>
      <c r="D52" s="158">
        <v>0</v>
      </c>
      <c r="E52" s="158">
        <v>0</v>
      </c>
      <c r="F52" s="158">
        <v>0</v>
      </c>
      <c r="G52" s="158">
        <v>0</v>
      </c>
      <c r="H52" s="159">
        <f t="shared" si="20"/>
        <v>2296004</v>
      </c>
      <c r="I52" s="174">
        <v>28</v>
      </c>
      <c r="J52" s="153">
        <f t="shared" si="15"/>
        <v>0</v>
      </c>
      <c r="K52" s="171">
        <v>27</v>
      </c>
      <c r="L52" s="172">
        <f t="shared" si="16"/>
        <v>-1</v>
      </c>
    </row>
    <row r="53" ht="45" customHeight="1" spans="1:12">
      <c r="A53" s="157">
        <v>2296006</v>
      </c>
      <c r="B53" s="157" t="s">
        <v>817</v>
      </c>
      <c r="C53" s="158">
        <v>0</v>
      </c>
      <c r="D53" s="158">
        <v>0</v>
      </c>
      <c r="E53" s="158">
        <v>116.53</v>
      </c>
      <c r="F53" s="158">
        <v>101.53</v>
      </c>
      <c r="G53" s="162">
        <v>101.53</v>
      </c>
      <c r="H53" s="159">
        <f t="shared" si="20"/>
        <v>2296107.53</v>
      </c>
      <c r="I53" s="174">
        <v>86</v>
      </c>
      <c r="J53" s="153">
        <v>0</v>
      </c>
      <c r="K53" s="171">
        <v>48.24</v>
      </c>
      <c r="L53" s="172">
        <f t="shared" si="16"/>
        <v>1.10468490878939</v>
      </c>
    </row>
    <row r="54" ht="45" customHeight="1" spans="1:12">
      <c r="A54" s="157">
        <v>2296013</v>
      </c>
      <c r="B54" s="157" t="s">
        <v>818</v>
      </c>
      <c r="C54" s="158">
        <v>0</v>
      </c>
      <c r="D54" s="158">
        <v>0</v>
      </c>
      <c r="E54" s="158">
        <v>39</v>
      </c>
      <c r="F54" s="158">
        <v>0</v>
      </c>
      <c r="G54" s="158">
        <v>0</v>
      </c>
      <c r="H54" s="159">
        <f t="shared" si="20"/>
        <v>2296013</v>
      </c>
      <c r="I54" s="174">
        <v>33</v>
      </c>
      <c r="J54" s="153">
        <f t="shared" si="15"/>
        <v>0</v>
      </c>
      <c r="K54" s="171">
        <v>61.86</v>
      </c>
      <c r="L54" s="172">
        <f t="shared" si="16"/>
        <v>-1</v>
      </c>
    </row>
    <row r="55" ht="45" customHeight="1" spans="1:12">
      <c r="A55" s="157">
        <v>2296099</v>
      </c>
      <c r="B55" s="157" t="s">
        <v>819</v>
      </c>
      <c r="C55" s="158">
        <v>0</v>
      </c>
      <c r="D55" s="158">
        <v>0</v>
      </c>
      <c r="E55" s="158">
        <v>10</v>
      </c>
      <c r="F55" s="158">
        <v>0</v>
      </c>
      <c r="G55" s="158">
        <v>0</v>
      </c>
      <c r="H55" s="159">
        <f t="shared" si="20"/>
        <v>2296099</v>
      </c>
      <c r="I55" s="174"/>
      <c r="J55" s="153">
        <f t="shared" si="15"/>
        <v>0</v>
      </c>
      <c r="K55" s="171">
        <v>300</v>
      </c>
      <c r="L55" s="172">
        <f t="shared" si="16"/>
        <v>-1</v>
      </c>
    </row>
    <row r="56" ht="45" customHeight="1" spans="1:12">
      <c r="A56" s="157">
        <v>232</v>
      </c>
      <c r="B56" s="157" t="s">
        <v>223</v>
      </c>
      <c r="C56" s="158">
        <v>14000</v>
      </c>
      <c r="D56" s="158">
        <f t="shared" ref="D56:I56" si="21">D57</f>
        <v>14582</v>
      </c>
      <c r="E56" s="158">
        <f t="shared" si="21"/>
        <v>0</v>
      </c>
      <c r="F56" s="158">
        <f>SUM(F57)</f>
        <v>14422.98666</v>
      </c>
      <c r="G56" s="158">
        <f>SUM(G57)</f>
        <v>0</v>
      </c>
      <c r="H56" s="159">
        <f t="shared" si="20"/>
        <v>232</v>
      </c>
      <c r="I56" s="174">
        <f t="shared" si="21"/>
        <v>7743</v>
      </c>
      <c r="J56" s="153">
        <f t="shared" si="15"/>
        <v>14422.98666</v>
      </c>
      <c r="K56" s="171">
        <v>11781.88106</v>
      </c>
      <c r="L56" s="172">
        <f t="shared" si="16"/>
        <v>0.224166717228768</v>
      </c>
    </row>
    <row r="57" ht="45" customHeight="1" spans="1:12">
      <c r="A57" s="157">
        <v>23204</v>
      </c>
      <c r="B57" s="157" t="s">
        <v>820</v>
      </c>
      <c r="C57" s="158">
        <f>SUM(C58:C59)</f>
        <v>14000</v>
      </c>
      <c r="D57" s="158">
        <f t="shared" ref="D57:I57" si="22">SUM(D59:D59)</f>
        <v>14582</v>
      </c>
      <c r="E57" s="158">
        <f t="shared" si="22"/>
        <v>0</v>
      </c>
      <c r="F57" s="158">
        <f>SUM(F58:F59)</f>
        <v>14422.98666</v>
      </c>
      <c r="G57" s="158">
        <f>G58</f>
        <v>0</v>
      </c>
      <c r="H57" s="159">
        <f t="shared" si="20"/>
        <v>23204</v>
      </c>
      <c r="I57" s="174">
        <f t="shared" si="22"/>
        <v>7743</v>
      </c>
      <c r="J57" s="153">
        <f t="shared" si="15"/>
        <v>14422.98666</v>
      </c>
      <c r="K57" s="171">
        <v>11781.88106</v>
      </c>
      <c r="L57" s="172">
        <f t="shared" si="16"/>
        <v>0.224166717228768</v>
      </c>
    </row>
    <row r="58" ht="45" customHeight="1" spans="1:12">
      <c r="A58" s="157">
        <v>2320405</v>
      </c>
      <c r="B58" s="157" t="s">
        <v>821</v>
      </c>
      <c r="C58" s="158">
        <v>0</v>
      </c>
      <c r="D58" s="158">
        <v>0</v>
      </c>
      <c r="E58" s="158">
        <v>0</v>
      </c>
      <c r="F58" s="158">
        <v>0</v>
      </c>
      <c r="G58" s="158">
        <v>0</v>
      </c>
      <c r="H58" s="159"/>
      <c r="I58" s="174"/>
      <c r="J58" s="153">
        <f t="shared" si="15"/>
        <v>0</v>
      </c>
      <c r="K58" s="171">
        <v>0</v>
      </c>
      <c r="L58" s="172">
        <v>0</v>
      </c>
    </row>
    <row r="59" ht="45" customHeight="1" spans="1:12">
      <c r="A59" s="157">
        <v>2320411</v>
      </c>
      <c r="B59" s="157" t="s">
        <v>822</v>
      </c>
      <c r="C59" s="158">
        <v>14000</v>
      </c>
      <c r="D59" s="158">
        <v>14582</v>
      </c>
      <c r="E59" s="158">
        <v>0</v>
      </c>
      <c r="F59" s="160">
        <v>14422.98666</v>
      </c>
      <c r="G59" s="158">
        <v>0</v>
      </c>
      <c r="H59" s="159">
        <f t="shared" ref="H59:H62" si="23">A59+G59</f>
        <v>2320411</v>
      </c>
      <c r="I59" s="174">
        <v>7743</v>
      </c>
      <c r="J59" s="160">
        <v>14422.98666</v>
      </c>
      <c r="K59" s="171">
        <v>11781.88106</v>
      </c>
      <c r="L59" s="172">
        <f t="shared" si="16"/>
        <v>0.224166717228768</v>
      </c>
    </row>
    <row r="60" ht="45" customHeight="1" spans="1:12">
      <c r="A60" s="157">
        <v>233</v>
      </c>
      <c r="B60" s="157" t="s">
        <v>225</v>
      </c>
      <c r="C60" s="158">
        <v>100</v>
      </c>
      <c r="D60" s="158">
        <f t="shared" ref="D60:I60" si="24">D61</f>
        <v>100</v>
      </c>
      <c r="E60" s="158">
        <f t="shared" si="24"/>
        <v>0</v>
      </c>
      <c r="F60" s="158">
        <f>SUM(F61)</f>
        <v>99.203414</v>
      </c>
      <c r="G60" s="158">
        <f>SUM(G61)</f>
        <v>0</v>
      </c>
      <c r="H60" s="159">
        <f t="shared" si="23"/>
        <v>233</v>
      </c>
      <c r="I60" s="174">
        <f t="shared" si="24"/>
        <v>61</v>
      </c>
      <c r="J60" s="153">
        <f t="shared" si="15"/>
        <v>99.203414</v>
      </c>
      <c r="K60" s="171">
        <v>149.172564</v>
      </c>
      <c r="L60" s="172">
        <f t="shared" si="16"/>
        <v>-0.334975471763025</v>
      </c>
    </row>
    <row r="61" ht="45" customHeight="1" spans="1:12">
      <c r="A61" s="157">
        <v>23304</v>
      </c>
      <c r="B61" s="157" t="s">
        <v>823</v>
      </c>
      <c r="C61" s="158">
        <f>SUM(C62)</f>
        <v>100</v>
      </c>
      <c r="D61" s="158">
        <f t="shared" ref="D61:I61" si="25">SUM(D62:D62)</f>
        <v>100</v>
      </c>
      <c r="E61" s="158">
        <f t="shared" si="25"/>
        <v>0</v>
      </c>
      <c r="F61" s="158">
        <f>SUM(F62)</f>
        <v>99.203414</v>
      </c>
      <c r="G61" s="158">
        <f>SUM(G62)</f>
        <v>0</v>
      </c>
      <c r="H61" s="159">
        <f t="shared" si="23"/>
        <v>23304</v>
      </c>
      <c r="I61" s="174">
        <f t="shared" si="25"/>
        <v>61</v>
      </c>
      <c r="J61" s="153">
        <f t="shared" si="15"/>
        <v>99.203414</v>
      </c>
      <c r="K61" s="171">
        <v>149.172564</v>
      </c>
      <c r="L61" s="172">
        <f t="shared" si="16"/>
        <v>-0.334975471763025</v>
      </c>
    </row>
    <row r="62" ht="45" customHeight="1" spans="1:12">
      <c r="A62" s="157">
        <v>2330411</v>
      </c>
      <c r="B62" s="157" t="s">
        <v>824</v>
      </c>
      <c r="C62" s="158">
        <v>100</v>
      </c>
      <c r="D62" s="158">
        <v>100</v>
      </c>
      <c r="E62" s="158">
        <v>0</v>
      </c>
      <c r="F62" s="160">
        <v>99.203414</v>
      </c>
      <c r="G62" s="158">
        <v>0</v>
      </c>
      <c r="H62" s="159">
        <f t="shared" si="23"/>
        <v>2330411</v>
      </c>
      <c r="I62" s="174">
        <v>61</v>
      </c>
      <c r="J62" s="160">
        <v>99.203414</v>
      </c>
      <c r="K62" s="171">
        <v>149.172564</v>
      </c>
      <c r="L62" s="172">
        <f t="shared" si="16"/>
        <v>-0.334975471763025</v>
      </c>
    </row>
    <row r="63" ht="45" customHeight="1" spans="1:12">
      <c r="A63" s="157">
        <v>234</v>
      </c>
      <c r="B63" s="157" t="s">
        <v>825</v>
      </c>
      <c r="C63" s="158">
        <v>0</v>
      </c>
      <c r="D63" s="158">
        <v>0</v>
      </c>
      <c r="E63" s="158">
        <f>E64+E67</f>
        <v>929</v>
      </c>
      <c r="F63" s="158">
        <f>F64+F67</f>
        <v>493</v>
      </c>
      <c r="G63" s="158">
        <f>G64+G67</f>
        <v>493</v>
      </c>
      <c r="H63" s="163"/>
      <c r="I63" s="163"/>
      <c r="J63" s="153">
        <f t="shared" si="15"/>
        <v>0</v>
      </c>
      <c r="K63" s="171">
        <v>10879</v>
      </c>
      <c r="L63" s="172">
        <f t="shared" si="16"/>
        <v>-0.954683334865337</v>
      </c>
    </row>
    <row r="64" ht="45" customHeight="1" spans="1:17">
      <c r="A64" s="157">
        <v>23401</v>
      </c>
      <c r="B64" s="157" t="s">
        <v>247</v>
      </c>
      <c r="C64" s="158">
        <v>0</v>
      </c>
      <c r="D64" s="158">
        <v>0</v>
      </c>
      <c r="E64" s="158">
        <v>0</v>
      </c>
      <c r="F64" s="158">
        <f>SUM(F65:F66)</f>
        <v>169</v>
      </c>
      <c r="G64" s="158">
        <f>SUM(G65:G66)</f>
        <v>169</v>
      </c>
      <c r="H64" s="163"/>
      <c r="I64" s="163"/>
      <c r="J64" s="153">
        <f t="shared" si="15"/>
        <v>0</v>
      </c>
      <c r="K64" s="171">
        <v>9163.59</v>
      </c>
      <c r="L64" s="172">
        <f t="shared" si="16"/>
        <v>-0.981557446372</v>
      </c>
      <c r="O64">
        <v>493</v>
      </c>
      <c r="Q64">
        <v>10879</v>
      </c>
    </row>
    <row r="65" ht="45" customHeight="1" spans="1:17">
      <c r="A65" s="157">
        <v>2340101</v>
      </c>
      <c r="B65" s="157" t="s">
        <v>826</v>
      </c>
      <c r="C65" s="158">
        <v>0</v>
      </c>
      <c r="D65" s="158">
        <v>0</v>
      </c>
      <c r="E65" s="158">
        <v>0</v>
      </c>
      <c r="F65" s="160">
        <v>169</v>
      </c>
      <c r="G65" s="160">
        <v>169</v>
      </c>
      <c r="H65" s="163"/>
      <c r="I65" s="163"/>
      <c r="J65" s="153">
        <v>0</v>
      </c>
      <c r="K65" s="171">
        <v>1316.59</v>
      </c>
      <c r="L65" s="172">
        <f t="shared" si="16"/>
        <v>-0.871638095382769</v>
      </c>
      <c r="Q65">
        <f>O64/Q64-1</f>
        <v>-0.954683334865337</v>
      </c>
    </row>
    <row r="66" ht="45" customHeight="1" spans="1:12">
      <c r="A66" s="157">
        <v>2340110</v>
      </c>
      <c r="B66" s="157" t="s">
        <v>827</v>
      </c>
      <c r="C66" s="158">
        <v>0</v>
      </c>
      <c r="D66" s="158">
        <v>0</v>
      </c>
      <c r="E66" s="158">
        <v>0</v>
      </c>
      <c r="F66" s="158">
        <v>0</v>
      </c>
      <c r="G66" s="158">
        <v>0</v>
      </c>
      <c r="H66" s="163"/>
      <c r="I66" s="163"/>
      <c r="J66" s="153">
        <f t="shared" si="15"/>
        <v>0</v>
      </c>
      <c r="K66" s="171">
        <v>7847</v>
      </c>
      <c r="L66" s="172">
        <f t="shared" si="16"/>
        <v>-1</v>
      </c>
    </row>
    <row r="67" ht="45" customHeight="1" spans="1:12">
      <c r="A67" s="157">
        <v>23402</v>
      </c>
      <c r="B67" s="157" t="s">
        <v>828</v>
      </c>
      <c r="C67" s="158">
        <v>0</v>
      </c>
      <c r="D67" s="158">
        <v>0</v>
      </c>
      <c r="E67" s="158">
        <f>SUM(E68:E70)</f>
        <v>929</v>
      </c>
      <c r="F67" s="158">
        <f>SUM(F68:F70)</f>
        <v>324</v>
      </c>
      <c r="G67" s="158">
        <f>SUM(G68:G70)</f>
        <v>324</v>
      </c>
      <c r="H67" s="163"/>
      <c r="I67" s="163"/>
      <c r="J67" s="153">
        <f t="shared" si="15"/>
        <v>0</v>
      </c>
      <c r="K67" s="171">
        <v>1715.41</v>
      </c>
      <c r="L67" s="172">
        <f t="shared" si="16"/>
        <v>-0.811123871261098</v>
      </c>
    </row>
    <row r="68" ht="45" customHeight="1" spans="1:12">
      <c r="A68" s="157">
        <v>2340204</v>
      </c>
      <c r="B68" s="157" t="s">
        <v>829</v>
      </c>
      <c r="C68" s="158">
        <v>0</v>
      </c>
      <c r="D68" s="158">
        <v>0</v>
      </c>
      <c r="E68" s="158">
        <v>0</v>
      </c>
      <c r="F68" s="158">
        <v>0</v>
      </c>
      <c r="G68" s="158">
        <v>0</v>
      </c>
      <c r="H68" s="163"/>
      <c r="I68" s="163"/>
      <c r="J68" s="153">
        <f t="shared" si="15"/>
        <v>0</v>
      </c>
      <c r="K68" s="171">
        <v>1158.9</v>
      </c>
      <c r="L68" s="172">
        <f t="shared" si="16"/>
        <v>-1</v>
      </c>
    </row>
    <row r="69" ht="45" customHeight="1" spans="1:12">
      <c r="A69" s="157">
        <v>2340205</v>
      </c>
      <c r="B69" s="157" t="s">
        <v>830</v>
      </c>
      <c r="C69" s="158">
        <v>0</v>
      </c>
      <c r="D69" s="158">
        <v>0</v>
      </c>
      <c r="E69" s="158">
        <v>0</v>
      </c>
      <c r="F69" s="179">
        <v>0</v>
      </c>
      <c r="G69" s="179">
        <v>0</v>
      </c>
      <c r="H69" s="163"/>
      <c r="I69" s="163"/>
      <c r="J69" s="181">
        <f t="shared" si="15"/>
        <v>0</v>
      </c>
      <c r="K69" s="171">
        <v>539</v>
      </c>
      <c r="L69" s="172">
        <f t="shared" si="16"/>
        <v>-1</v>
      </c>
    </row>
    <row r="70" ht="45" customHeight="1" spans="1:12">
      <c r="A70" s="157">
        <v>2340299</v>
      </c>
      <c r="B70" s="157" t="s">
        <v>831</v>
      </c>
      <c r="C70" s="158">
        <v>0</v>
      </c>
      <c r="D70" s="158">
        <v>0</v>
      </c>
      <c r="E70" s="158">
        <v>929</v>
      </c>
      <c r="F70" s="160">
        <v>324</v>
      </c>
      <c r="G70" s="160">
        <v>324</v>
      </c>
      <c r="H70" s="180"/>
      <c r="I70" s="180"/>
      <c r="J70" s="153">
        <f t="shared" si="15"/>
        <v>0</v>
      </c>
      <c r="K70" s="171">
        <v>17.51</v>
      </c>
      <c r="L70" s="172">
        <f t="shared" si="16"/>
        <v>17.5037121644774</v>
      </c>
    </row>
  </sheetData>
  <mergeCells count="12">
    <mergeCell ref="B2:L2"/>
    <mergeCell ref="C4:E4"/>
    <mergeCell ref="F4:L4"/>
    <mergeCell ref="A7:B7"/>
    <mergeCell ref="A4:A6"/>
    <mergeCell ref="B4:B6"/>
    <mergeCell ref="C5:C6"/>
    <mergeCell ref="D5:D6"/>
    <mergeCell ref="E5:E6"/>
    <mergeCell ref="F5:F6"/>
    <mergeCell ref="K5:K6"/>
    <mergeCell ref="L5:L6"/>
  </mergeCells>
  <pageMargins left="0.550694444444444" right="0.389583333333333" top="0.629861111111111" bottom="0.468055555555556" header="0.511805555555556" footer="0.511805555555556"/>
  <pageSetup paperSize="9" scale="69" fitToHeight="0" orientation="portrait" horizontalDpi="600"/>
  <headerFooter>
    <oddFooter>&amp;C第 &amp;P 页，共 &amp;N 页</oddFooter>
  </headerFooter>
  <ignoredErrors>
    <ignoredError sqref="J32 J21" formula="1"/>
    <ignoredError sqref="F12 F32 G64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4"/>
  <sheetViews>
    <sheetView workbookViewId="0">
      <selection activeCell="I18" sqref="I18"/>
    </sheetView>
  </sheetViews>
  <sheetFormatPr defaultColWidth="9" defaultRowHeight="14.25" outlineLevelCol="1"/>
  <cols>
    <col min="1" max="1" width="31.5" customWidth="1"/>
    <col min="2" max="2" width="30.5" customWidth="1"/>
  </cols>
  <sheetData>
    <row r="1" spans="1:1">
      <c r="A1" s="80" t="s">
        <v>23</v>
      </c>
    </row>
    <row r="2" ht="39" customHeight="1" spans="1:2">
      <c r="A2" s="129" t="s">
        <v>832</v>
      </c>
      <c r="B2" s="130"/>
    </row>
    <row r="3" ht="20.25" customHeight="1" spans="1:2">
      <c r="A3" s="129"/>
      <c r="B3" s="130" t="s">
        <v>38</v>
      </c>
    </row>
    <row r="4" spans="1:2">
      <c r="A4" s="131" t="s">
        <v>722</v>
      </c>
      <c r="B4" s="132" t="s">
        <v>284</v>
      </c>
    </row>
    <row r="5" spans="1:2">
      <c r="A5" s="133"/>
      <c r="B5" s="132"/>
    </row>
    <row r="6" ht="44" customHeight="1" spans="1:2">
      <c r="A6" s="133" t="s">
        <v>833</v>
      </c>
      <c r="B6" s="134">
        <f>B7</f>
        <v>2741</v>
      </c>
    </row>
    <row r="7" ht="29" customHeight="1" spans="1:2">
      <c r="A7" s="135" t="s">
        <v>834</v>
      </c>
      <c r="B7" s="136">
        <f>SUM(B8:B10)</f>
        <v>2741</v>
      </c>
    </row>
    <row r="8" ht="29" customHeight="1" spans="1:2">
      <c r="A8" s="135" t="s">
        <v>756</v>
      </c>
      <c r="B8" s="137">
        <v>645</v>
      </c>
    </row>
    <row r="9" ht="29" customHeight="1" spans="1:2">
      <c r="A9" s="135" t="s">
        <v>760</v>
      </c>
      <c r="B9" s="138">
        <v>591</v>
      </c>
    </row>
    <row r="10" ht="29" customHeight="1" spans="1:2">
      <c r="A10" s="135" t="s">
        <v>768</v>
      </c>
      <c r="B10" s="138">
        <v>1505</v>
      </c>
    </row>
    <row r="11" ht="29" customHeight="1" spans="1:2">
      <c r="A11" s="139"/>
      <c r="B11" s="140"/>
    </row>
    <row r="14" spans="1:2">
      <c r="A14" s="141"/>
      <c r="B14" s="142"/>
    </row>
  </sheetData>
  <mergeCells count="3">
    <mergeCell ref="A2:B2"/>
    <mergeCell ref="A4:A5"/>
    <mergeCell ref="B4:B5"/>
  </mergeCells>
  <printOptions horizontalCentered="1"/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8"/>
  <sheetViews>
    <sheetView workbookViewId="0">
      <selection activeCell="E5" sqref="E5"/>
    </sheetView>
  </sheetViews>
  <sheetFormatPr defaultColWidth="9" defaultRowHeight="14.25"/>
  <cols>
    <col min="1" max="1" width="17.25" customWidth="1"/>
    <col min="2" max="2" width="11.25" customWidth="1"/>
    <col min="3" max="3" width="6.875" customWidth="1"/>
    <col min="4" max="5" width="10.125" customWidth="1"/>
    <col min="6" max="10" width="7.375" customWidth="1"/>
  </cols>
  <sheetData>
    <row r="1" spans="1:1">
      <c r="A1" s="31" t="s">
        <v>25</v>
      </c>
    </row>
    <row r="2" ht="20.25" customHeight="1" spans="1:10">
      <c r="A2" s="81" t="s">
        <v>26</v>
      </c>
      <c r="B2" s="114"/>
      <c r="C2" s="114"/>
      <c r="D2" s="81"/>
      <c r="E2" s="81"/>
      <c r="F2" s="114"/>
      <c r="G2" s="114"/>
      <c r="H2" s="114"/>
      <c r="I2" s="114"/>
      <c r="J2" s="114"/>
    </row>
    <row r="3" ht="15" spans="1:9">
      <c r="A3" s="115"/>
      <c r="B3" s="116"/>
      <c r="C3" s="116"/>
      <c r="D3" s="117"/>
      <c r="E3" s="118"/>
      <c r="I3" s="128" t="s">
        <v>38</v>
      </c>
    </row>
    <row r="4" ht="56.25" customHeight="1" spans="1:10">
      <c r="A4" s="119" t="s">
        <v>835</v>
      </c>
      <c r="B4" s="120" t="s">
        <v>284</v>
      </c>
      <c r="C4" s="120" t="s">
        <v>836</v>
      </c>
      <c r="D4" s="121" t="s">
        <v>837</v>
      </c>
      <c r="E4" s="121" t="s">
        <v>838</v>
      </c>
      <c r="F4" s="120" t="s">
        <v>839</v>
      </c>
      <c r="G4" s="120" t="s">
        <v>840</v>
      </c>
      <c r="H4" s="120" t="s">
        <v>841</v>
      </c>
      <c r="I4" s="120" t="s">
        <v>842</v>
      </c>
      <c r="J4" s="120" t="s">
        <v>843</v>
      </c>
    </row>
    <row r="5" ht="30" customHeight="1" spans="1:10">
      <c r="A5" s="122" t="s">
        <v>844</v>
      </c>
      <c r="B5" s="123">
        <f>D5+E5</f>
        <v>24931.41</v>
      </c>
      <c r="C5" s="123">
        <f t="shared" ref="C5:J5" si="0">C6+C7+C8+C9+C10+C11</f>
        <v>0</v>
      </c>
      <c r="D5" s="124">
        <f t="shared" si="0"/>
        <v>10045.61</v>
      </c>
      <c r="E5" s="124">
        <f t="shared" si="0"/>
        <v>14885.8</v>
      </c>
      <c r="F5" s="123">
        <f t="shared" si="0"/>
        <v>0</v>
      </c>
      <c r="G5" s="123">
        <f t="shared" si="0"/>
        <v>0</v>
      </c>
      <c r="H5" s="123">
        <f t="shared" si="0"/>
        <v>0</v>
      </c>
      <c r="I5" s="123">
        <f t="shared" si="0"/>
        <v>0</v>
      </c>
      <c r="J5" s="123">
        <f t="shared" si="0"/>
        <v>0</v>
      </c>
    </row>
    <row r="6" ht="30" customHeight="1" spans="1:10">
      <c r="A6" s="125" t="s">
        <v>845</v>
      </c>
      <c r="B6" s="123">
        <f t="shared" ref="B6:B17" si="1">D6+E6</f>
        <v>12076.65</v>
      </c>
      <c r="C6" s="123">
        <v>0</v>
      </c>
      <c r="D6" s="124">
        <v>2394.55</v>
      </c>
      <c r="E6" s="124">
        <v>9682.1</v>
      </c>
      <c r="F6" s="123">
        <v>0</v>
      </c>
      <c r="G6" s="123">
        <v>0</v>
      </c>
      <c r="H6" s="123">
        <v>0</v>
      </c>
      <c r="I6" s="123">
        <v>0</v>
      </c>
      <c r="J6" s="123">
        <v>0</v>
      </c>
    </row>
    <row r="7" ht="30" customHeight="1" spans="1:10">
      <c r="A7" s="126" t="s">
        <v>846</v>
      </c>
      <c r="B7" s="123">
        <f t="shared" si="1"/>
        <v>345.02</v>
      </c>
      <c r="C7" s="123">
        <v>0</v>
      </c>
      <c r="D7" s="124">
        <v>340.22</v>
      </c>
      <c r="E7" s="124">
        <v>4.8</v>
      </c>
      <c r="F7" s="123">
        <v>0</v>
      </c>
      <c r="G7" s="123">
        <v>0</v>
      </c>
      <c r="H7" s="123">
        <v>0</v>
      </c>
      <c r="I7" s="123">
        <v>0</v>
      </c>
      <c r="J7" s="123">
        <v>0</v>
      </c>
    </row>
    <row r="8" ht="30" customHeight="1" spans="1:10">
      <c r="A8" s="126" t="s">
        <v>847</v>
      </c>
      <c r="B8" s="123">
        <f t="shared" si="1"/>
        <v>12377.45</v>
      </c>
      <c r="C8" s="123">
        <v>0</v>
      </c>
      <c r="D8" s="124">
        <v>7286.64</v>
      </c>
      <c r="E8" s="124">
        <v>5090.81</v>
      </c>
      <c r="F8" s="123">
        <v>0</v>
      </c>
      <c r="G8" s="123">
        <v>0</v>
      </c>
      <c r="H8" s="123">
        <v>0</v>
      </c>
      <c r="I8" s="123">
        <v>0</v>
      </c>
      <c r="J8" s="123">
        <v>0</v>
      </c>
    </row>
    <row r="9" ht="30" customHeight="1" spans="1:10">
      <c r="A9" s="126" t="s">
        <v>848</v>
      </c>
      <c r="B9" s="123">
        <f t="shared" si="1"/>
        <v>6.41</v>
      </c>
      <c r="C9" s="123">
        <v>0</v>
      </c>
      <c r="D9" s="124">
        <v>6.41</v>
      </c>
      <c r="E9" s="124">
        <v>0</v>
      </c>
      <c r="F9" s="123">
        <v>0</v>
      </c>
      <c r="G9" s="123">
        <v>0</v>
      </c>
      <c r="H9" s="123">
        <v>0</v>
      </c>
      <c r="I9" s="123">
        <v>0</v>
      </c>
      <c r="J9" s="123">
        <v>0</v>
      </c>
    </row>
    <row r="10" ht="30" customHeight="1" spans="1:10">
      <c r="A10" s="126" t="s">
        <v>768</v>
      </c>
      <c r="B10" s="123">
        <f t="shared" si="1"/>
        <v>22.79</v>
      </c>
      <c r="C10" s="123">
        <v>0</v>
      </c>
      <c r="D10" s="124">
        <v>10.02</v>
      </c>
      <c r="E10" s="124">
        <v>12.77</v>
      </c>
      <c r="F10" s="123">
        <v>0</v>
      </c>
      <c r="G10" s="123">
        <v>0</v>
      </c>
      <c r="H10" s="123">
        <v>0</v>
      </c>
      <c r="I10" s="123">
        <v>0</v>
      </c>
      <c r="J10" s="123">
        <v>0</v>
      </c>
    </row>
    <row r="11" ht="30" customHeight="1" spans="1:10">
      <c r="A11" s="126" t="s">
        <v>849</v>
      </c>
      <c r="B11" s="123">
        <f t="shared" si="1"/>
        <v>103.09</v>
      </c>
      <c r="C11" s="123">
        <v>0</v>
      </c>
      <c r="D11" s="124">
        <v>7.77</v>
      </c>
      <c r="E11" s="124">
        <v>95.32</v>
      </c>
      <c r="F11" s="123">
        <v>0</v>
      </c>
      <c r="G11" s="123">
        <v>0</v>
      </c>
      <c r="H11" s="123">
        <v>0</v>
      </c>
      <c r="I11" s="123">
        <v>0</v>
      </c>
      <c r="J11" s="123">
        <v>0</v>
      </c>
    </row>
    <row r="12" ht="30" customHeight="1" spans="1:10">
      <c r="A12" s="127" t="s">
        <v>850</v>
      </c>
      <c r="B12" s="123">
        <f t="shared" si="1"/>
        <v>22927.05</v>
      </c>
      <c r="C12" s="123">
        <f>C13+C14+C15+C16</f>
        <v>0</v>
      </c>
      <c r="D12" s="124">
        <f t="shared" ref="D12:I12" si="2">D13+D14+D15</f>
        <v>7912.31</v>
      </c>
      <c r="E12" s="124">
        <f t="shared" si="2"/>
        <v>15014.74</v>
      </c>
      <c r="F12" s="123">
        <f t="shared" si="2"/>
        <v>0</v>
      </c>
      <c r="G12" s="123">
        <f t="shared" si="2"/>
        <v>0</v>
      </c>
      <c r="H12" s="123">
        <f t="shared" si="2"/>
        <v>0</v>
      </c>
      <c r="I12" s="123">
        <f t="shared" si="2"/>
        <v>0</v>
      </c>
      <c r="J12" s="123">
        <f>J13+J14+J15+J16</f>
        <v>0</v>
      </c>
    </row>
    <row r="13" ht="30" customHeight="1" spans="1:10">
      <c r="A13" s="126" t="s">
        <v>851</v>
      </c>
      <c r="B13" s="123">
        <f t="shared" si="1"/>
        <v>22908.64</v>
      </c>
      <c r="C13" s="123">
        <v>0</v>
      </c>
      <c r="D13" s="124">
        <v>7905.22</v>
      </c>
      <c r="E13" s="124">
        <v>15003.42</v>
      </c>
      <c r="F13" s="123">
        <v>0</v>
      </c>
      <c r="G13" s="123">
        <v>0</v>
      </c>
      <c r="H13" s="123">
        <v>0</v>
      </c>
      <c r="I13" s="123">
        <v>0</v>
      </c>
      <c r="J13" s="123">
        <v>0</v>
      </c>
    </row>
    <row r="14" ht="30" customHeight="1" spans="1:10">
      <c r="A14" s="126" t="s">
        <v>276</v>
      </c>
      <c r="B14" s="123">
        <f t="shared" si="1"/>
        <v>0.35</v>
      </c>
      <c r="C14" s="123">
        <v>0</v>
      </c>
      <c r="D14" s="124">
        <v>0.35</v>
      </c>
      <c r="E14" s="124">
        <v>0</v>
      </c>
      <c r="F14" s="123">
        <v>0</v>
      </c>
      <c r="G14" s="123">
        <v>0</v>
      </c>
      <c r="H14" s="123">
        <v>0</v>
      </c>
      <c r="I14" s="123">
        <v>0</v>
      </c>
      <c r="J14" s="123">
        <v>0</v>
      </c>
    </row>
    <row r="15" ht="30" customHeight="1" spans="1:10">
      <c r="A15" s="126" t="s">
        <v>852</v>
      </c>
      <c r="B15" s="123">
        <f t="shared" si="1"/>
        <v>18.06</v>
      </c>
      <c r="C15" s="123">
        <v>0</v>
      </c>
      <c r="D15" s="124">
        <v>6.74</v>
      </c>
      <c r="E15" s="124">
        <v>11.32</v>
      </c>
      <c r="F15" s="123">
        <v>0</v>
      </c>
      <c r="G15" s="123">
        <v>0</v>
      </c>
      <c r="H15" s="123">
        <v>0</v>
      </c>
      <c r="I15" s="123">
        <v>0</v>
      </c>
      <c r="J15" s="123">
        <v>0</v>
      </c>
    </row>
    <row r="16" ht="30" customHeight="1" spans="1:10">
      <c r="A16" s="126" t="s">
        <v>853</v>
      </c>
      <c r="B16" s="123">
        <f t="shared" si="1"/>
        <v>0</v>
      </c>
      <c r="C16" s="123">
        <v>0</v>
      </c>
      <c r="D16" s="124">
        <v>0</v>
      </c>
      <c r="E16" s="124">
        <v>0</v>
      </c>
      <c r="F16" s="123">
        <v>0</v>
      </c>
      <c r="G16" s="123">
        <v>0</v>
      </c>
      <c r="H16" s="123">
        <v>0</v>
      </c>
      <c r="I16" s="123">
        <v>0</v>
      </c>
      <c r="J16" s="123">
        <v>0</v>
      </c>
    </row>
    <row r="17" ht="30" customHeight="1" spans="1:10">
      <c r="A17" s="122" t="s">
        <v>854</v>
      </c>
      <c r="B17" s="123">
        <f t="shared" ref="B17:J17" si="3">B5-B12</f>
        <v>2004.36</v>
      </c>
      <c r="C17" s="123">
        <f t="shared" si="3"/>
        <v>0</v>
      </c>
      <c r="D17" s="124">
        <f t="shared" si="3"/>
        <v>2133.3</v>
      </c>
      <c r="E17" s="124">
        <f t="shared" si="3"/>
        <v>-128.940000000001</v>
      </c>
      <c r="F17" s="123">
        <f t="shared" si="3"/>
        <v>0</v>
      </c>
      <c r="G17" s="123">
        <f t="shared" si="3"/>
        <v>0</v>
      </c>
      <c r="H17" s="123">
        <f t="shared" si="3"/>
        <v>0</v>
      </c>
      <c r="I17" s="123">
        <f t="shared" si="3"/>
        <v>0</v>
      </c>
      <c r="J17" s="123">
        <f t="shared" si="3"/>
        <v>0</v>
      </c>
    </row>
    <row r="18" ht="30" customHeight="1" spans="1:10">
      <c r="A18" s="122" t="s">
        <v>855</v>
      </c>
      <c r="B18" s="123">
        <f>D18+E18</f>
        <v>23787.38</v>
      </c>
      <c r="C18" s="123">
        <v>0</v>
      </c>
      <c r="D18" s="124">
        <v>23777.26</v>
      </c>
      <c r="E18" s="124">
        <v>10.12</v>
      </c>
      <c r="F18" s="123">
        <v>0</v>
      </c>
      <c r="G18" s="123">
        <v>0</v>
      </c>
      <c r="H18" s="123">
        <v>0</v>
      </c>
      <c r="I18" s="123">
        <v>0</v>
      </c>
      <c r="J18" s="123">
        <v>0</v>
      </c>
    </row>
  </sheetData>
  <mergeCells count="1">
    <mergeCell ref="A2:J2"/>
  </mergeCells>
  <printOptions horizontalCentered="1"/>
  <pageMargins left="0.700694444444445" right="0.700694444444445" top="0.751388888888889" bottom="0.751388888888889" header="0.298611111111111" footer="0.298611111111111"/>
  <pageSetup paperSize="9" scale="87" orientation="portrait" horizontalDpi="600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workbookViewId="0">
      <selection activeCell="K25" sqref="K25"/>
    </sheetView>
  </sheetViews>
  <sheetFormatPr defaultColWidth="9" defaultRowHeight="14.25" outlineLevelCol="7"/>
  <cols>
    <col min="1" max="1" width="9" customWidth="1"/>
    <col min="2" max="2" width="16.625" customWidth="1"/>
    <col min="3" max="3" width="12.625" customWidth="1"/>
    <col min="4" max="5" width="11" customWidth="1"/>
  </cols>
  <sheetData>
    <row r="1" spans="1:1">
      <c r="A1" s="80" t="s">
        <v>27</v>
      </c>
    </row>
    <row r="2" ht="20.25" customHeight="1" spans="1:8">
      <c r="A2" s="81" t="s">
        <v>28</v>
      </c>
      <c r="B2" s="81"/>
      <c r="C2" s="81"/>
      <c r="D2" s="81"/>
      <c r="E2" s="81"/>
      <c r="F2" s="81"/>
      <c r="G2" s="81"/>
      <c r="H2" s="101"/>
    </row>
    <row r="3" ht="20.25" customHeight="1" spans="1:8">
      <c r="A3" s="102"/>
      <c r="B3" s="102"/>
      <c r="C3" s="102"/>
      <c r="D3" s="102"/>
      <c r="E3" s="102"/>
      <c r="F3" s="103" t="s">
        <v>856</v>
      </c>
      <c r="G3" s="103" t="s">
        <v>857</v>
      </c>
      <c r="H3" s="101"/>
    </row>
    <row r="4" ht="36" spans="1:7">
      <c r="A4" s="83" t="s">
        <v>39</v>
      </c>
      <c r="B4" s="84" t="s">
        <v>40</v>
      </c>
      <c r="C4" s="85" t="s">
        <v>71</v>
      </c>
      <c r="D4" s="85" t="s">
        <v>43</v>
      </c>
      <c r="E4" s="85" t="s">
        <v>858</v>
      </c>
      <c r="F4" s="86" t="s">
        <v>859</v>
      </c>
      <c r="G4" s="86" t="s">
        <v>860</v>
      </c>
    </row>
    <row r="5" ht="36" customHeight="1" spans="1:7">
      <c r="A5" s="104">
        <v>1030698</v>
      </c>
      <c r="B5" s="105" t="s">
        <v>861</v>
      </c>
      <c r="C5" s="106">
        <v>28</v>
      </c>
      <c r="D5" s="107">
        <v>28</v>
      </c>
      <c r="E5" s="107">
        <v>80</v>
      </c>
      <c r="F5" s="90">
        <f>D5/C5</f>
        <v>1</v>
      </c>
      <c r="G5" s="108">
        <f>D5/E5</f>
        <v>0.35</v>
      </c>
    </row>
    <row r="6" ht="24" customHeight="1" spans="1:7">
      <c r="A6" s="104"/>
      <c r="B6" s="109" t="s">
        <v>862</v>
      </c>
      <c r="C6" s="104">
        <v>28</v>
      </c>
      <c r="D6" s="90">
        <v>28</v>
      </c>
      <c r="E6" s="90">
        <v>80</v>
      </c>
      <c r="F6" s="90">
        <f>D6/C6</f>
        <v>1</v>
      </c>
      <c r="G6" s="108">
        <f>D6/E6</f>
        <v>0.35</v>
      </c>
    </row>
    <row r="7" spans="1:7">
      <c r="A7" s="87"/>
      <c r="B7" s="109" t="s">
        <v>863</v>
      </c>
      <c r="C7" s="106">
        <v>28</v>
      </c>
      <c r="D7" s="107">
        <v>28</v>
      </c>
      <c r="E7" s="107">
        <v>0</v>
      </c>
      <c r="F7" s="107">
        <v>0</v>
      </c>
      <c r="G7" s="108">
        <v>0</v>
      </c>
    </row>
    <row r="8" spans="1:7">
      <c r="A8" s="87"/>
      <c r="B8" s="109" t="s">
        <v>864</v>
      </c>
      <c r="C8" s="110">
        <v>0</v>
      </c>
      <c r="D8" s="107">
        <v>0</v>
      </c>
      <c r="E8" s="107">
        <v>0</v>
      </c>
      <c r="F8" s="107">
        <v>0</v>
      </c>
      <c r="G8" s="108">
        <v>0</v>
      </c>
    </row>
    <row r="9" spans="1:7">
      <c r="A9" s="87"/>
      <c r="B9" s="111" t="s">
        <v>865</v>
      </c>
      <c r="C9" s="106">
        <v>28</v>
      </c>
      <c r="D9" s="107">
        <v>28</v>
      </c>
      <c r="E9" s="107">
        <v>80</v>
      </c>
      <c r="F9" s="107">
        <f>D9/C9</f>
        <v>1</v>
      </c>
      <c r="G9" s="108">
        <f>D9/E9</f>
        <v>0.35</v>
      </c>
    </row>
    <row r="10" spans="1:7">
      <c r="A10" s="98"/>
      <c r="B10" s="98"/>
      <c r="C10" s="112"/>
      <c r="D10" s="113"/>
      <c r="E10" s="113"/>
      <c r="F10" s="113"/>
      <c r="G10" s="98"/>
    </row>
  </sheetData>
  <mergeCells count="2">
    <mergeCell ref="A2:G2"/>
    <mergeCell ref="C10:F10"/>
  </mergeCells>
  <pageMargins left="0.7" right="0.7" top="0.75" bottom="0.75" header="0.3" footer="0.3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"/>
  <sheetViews>
    <sheetView workbookViewId="0">
      <selection activeCell="E39" sqref="E39"/>
    </sheetView>
  </sheetViews>
  <sheetFormatPr defaultColWidth="9" defaultRowHeight="14.25" outlineLevelRow="7" outlineLevelCol="5"/>
  <cols>
    <col min="2" max="2" width="24.5" customWidth="1"/>
    <col min="5" max="5" width="11.875" customWidth="1"/>
    <col min="6" max="6" width="11.75" customWidth="1"/>
  </cols>
  <sheetData>
    <row r="1" spans="1:1">
      <c r="A1" s="80" t="s">
        <v>29</v>
      </c>
    </row>
    <row r="2" ht="20.25" spans="1:6">
      <c r="A2" s="81" t="s">
        <v>30</v>
      </c>
      <c r="B2" s="81"/>
      <c r="C2" s="81"/>
      <c r="D2" s="81"/>
      <c r="E2" s="81"/>
      <c r="F2" s="81"/>
    </row>
    <row r="3" spans="5:6">
      <c r="E3" s="82" t="s">
        <v>856</v>
      </c>
      <c r="F3" s="82" t="s">
        <v>857</v>
      </c>
    </row>
    <row r="4" ht="24" spans="1:6">
      <c r="A4" s="83" t="s">
        <v>39</v>
      </c>
      <c r="B4" s="84" t="s">
        <v>40</v>
      </c>
      <c r="C4" s="85" t="s">
        <v>71</v>
      </c>
      <c r="D4" s="85" t="s">
        <v>43</v>
      </c>
      <c r="E4" s="86" t="s">
        <v>859</v>
      </c>
      <c r="F4" s="86" t="s">
        <v>860</v>
      </c>
    </row>
    <row r="5" ht="23.25" customHeight="1" spans="1:6">
      <c r="A5" s="87">
        <v>223</v>
      </c>
      <c r="B5" s="88" t="s">
        <v>866</v>
      </c>
      <c r="C5" s="89">
        <v>0</v>
      </c>
      <c r="D5" s="90">
        <v>0</v>
      </c>
      <c r="E5" s="91">
        <v>0</v>
      </c>
      <c r="F5" s="92">
        <v>0</v>
      </c>
    </row>
    <row r="6" ht="23.25" customHeight="1" spans="1:6">
      <c r="A6" s="93">
        <v>22399</v>
      </c>
      <c r="B6" s="94" t="s">
        <v>867</v>
      </c>
      <c r="C6" s="95">
        <v>0</v>
      </c>
      <c r="D6" s="96">
        <v>0</v>
      </c>
      <c r="E6" s="91">
        <v>0</v>
      </c>
      <c r="F6" s="92">
        <v>0</v>
      </c>
    </row>
    <row r="7" ht="23.25" customHeight="1" spans="1:6">
      <c r="A7" s="87">
        <v>2239901</v>
      </c>
      <c r="B7" s="97" t="s">
        <v>868</v>
      </c>
      <c r="C7" s="89">
        <v>0</v>
      </c>
      <c r="D7" s="90">
        <v>0</v>
      </c>
      <c r="E7" s="91">
        <v>0</v>
      </c>
      <c r="F7" s="92">
        <v>0</v>
      </c>
    </row>
    <row r="8" spans="1:6">
      <c r="A8" s="98" t="s">
        <v>869</v>
      </c>
      <c r="B8" s="99"/>
      <c r="C8" s="99"/>
      <c r="D8" s="100"/>
      <c r="E8" s="100"/>
      <c r="F8" s="99"/>
    </row>
  </sheetData>
  <mergeCells count="1">
    <mergeCell ref="A2:F2"/>
  </mergeCells>
  <pageMargins left="0.7" right="0.7" top="0.75" bottom="0.75" header="0.3" footer="0.3"/>
  <pageSetup paperSize="9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535"/>
  <sheetViews>
    <sheetView view="pageBreakPreview" zoomScaleNormal="100" workbookViewId="0">
      <pane ySplit="5" topLeftCell="A53" activePane="bottomLeft" state="frozen"/>
      <selection/>
      <selection pane="bottomLeft" activeCell="M84" sqref="M84"/>
    </sheetView>
  </sheetViews>
  <sheetFormatPr defaultColWidth="9" defaultRowHeight="14.25" outlineLevelCol="5"/>
  <cols>
    <col min="1" max="2" width="9.875" customWidth="1"/>
    <col min="3" max="3" width="56.75" customWidth="1"/>
    <col min="4" max="4" width="35.625" customWidth="1"/>
    <col min="5" max="5" width="15.5" customWidth="1"/>
    <col min="6" max="6" width="22" hidden="1" customWidth="1"/>
    <col min="7" max="8" width="9" hidden="1" customWidth="1"/>
  </cols>
  <sheetData>
    <row r="1" spans="1:2">
      <c r="A1" s="44" t="s">
        <v>31</v>
      </c>
      <c r="B1" s="44"/>
    </row>
    <row r="2" ht="20.25" spans="1:6">
      <c r="A2" s="45" t="s">
        <v>32</v>
      </c>
      <c r="B2" s="45"/>
      <c r="C2" s="45"/>
      <c r="D2" s="46"/>
      <c r="E2" s="47"/>
      <c r="F2" s="48"/>
    </row>
    <row r="3" ht="20.25" spans="3:6">
      <c r="C3" s="49"/>
      <c r="D3" s="50"/>
      <c r="E3" s="51" t="s">
        <v>38</v>
      </c>
      <c r="F3" s="52"/>
    </row>
    <row r="4" spans="1:6">
      <c r="A4" s="53" t="s">
        <v>870</v>
      </c>
      <c r="B4" s="54" t="s">
        <v>871</v>
      </c>
      <c r="C4" s="53" t="s">
        <v>872</v>
      </c>
      <c r="D4" s="55" t="s">
        <v>873</v>
      </c>
      <c r="E4" s="56" t="s">
        <v>723</v>
      </c>
      <c r="F4" s="57" t="s">
        <v>723</v>
      </c>
    </row>
    <row r="5" spans="1:6">
      <c r="A5" s="58" t="s">
        <v>874</v>
      </c>
      <c r="B5" s="59"/>
      <c r="C5" s="60"/>
      <c r="D5" s="61"/>
      <c r="E5" s="62">
        <f>SUM(E6:E535)</f>
        <v>5497.917162</v>
      </c>
      <c r="F5" s="57"/>
    </row>
    <row r="6" spans="1:6">
      <c r="A6" s="63">
        <v>1</v>
      </c>
      <c r="B6" s="63" t="s">
        <v>875</v>
      </c>
      <c r="C6" s="63" t="s">
        <v>876</v>
      </c>
      <c r="D6" s="64" t="s">
        <v>877</v>
      </c>
      <c r="E6" s="65">
        <v>16.1252</v>
      </c>
      <c r="F6" s="66"/>
    </row>
    <row r="7" spans="1:6">
      <c r="A7" s="63">
        <v>2</v>
      </c>
      <c r="B7" s="63" t="s">
        <v>875</v>
      </c>
      <c r="C7" s="63" t="s">
        <v>878</v>
      </c>
      <c r="D7" s="64" t="s">
        <v>879</v>
      </c>
      <c r="E7" s="65">
        <v>2.236357</v>
      </c>
      <c r="F7" s="66"/>
    </row>
    <row r="8" spans="1:6">
      <c r="A8" s="63">
        <v>3</v>
      </c>
      <c r="B8" s="63" t="s">
        <v>875</v>
      </c>
      <c r="C8" s="63" t="s">
        <v>878</v>
      </c>
      <c r="D8" s="64" t="s">
        <v>880</v>
      </c>
      <c r="E8" s="65">
        <v>4.8165</v>
      </c>
      <c r="F8" s="66"/>
    </row>
    <row r="9" spans="1:6">
      <c r="A9" s="63">
        <v>4</v>
      </c>
      <c r="B9" s="63" t="s">
        <v>875</v>
      </c>
      <c r="C9" s="63" t="s">
        <v>878</v>
      </c>
      <c r="D9" s="64" t="s">
        <v>881</v>
      </c>
      <c r="E9" s="65">
        <v>5.84678</v>
      </c>
      <c r="F9" s="66"/>
    </row>
    <row r="10" spans="1:6">
      <c r="A10" s="63">
        <v>5</v>
      </c>
      <c r="B10" s="63" t="s">
        <v>875</v>
      </c>
      <c r="C10" s="63" t="s">
        <v>878</v>
      </c>
      <c r="D10" s="64" t="s">
        <v>881</v>
      </c>
      <c r="E10" s="65">
        <v>5.23734</v>
      </c>
      <c r="F10" s="66"/>
    </row>
    <row r="11" spans="1:6">
      <c r="A11" s="63">
        <v>6</v>
      </c>
      <c r="B11" s="63" t="s">
        <v>875</v>
      </c>
      <c r="C11" s="63" t="s">
        <v>882</v>
      </c>
      <c r="D11" s="64" t="s">
        <v>883</v>
      </c>
      <c r="E11" s="65">
        <v>13.716</v>
      </c>
      <c r="F11" s="66"/>
    </row>
    <row r="12" spans="1:6">
      <c r="A12" s="63">
        <v>7</v>
      </c>
      <c r="B12" s="63" t="s">
        <v>875</v>
      </c>
      <c r="C12" s="63" t="s">
        <v>884</v>
      </c>
      <c r="D12" s="64" t="s">
        <v>885</v>
      </c>
      <c r="E12" s="65">
        <v>4.968</v>
      </c>
      <c r="F12" s="67">
        <v>15994</v>
      </c>
    </row>
    <row r="13" spans="1:6">
      <c r="A13" s="63">
        <v>8</v>
      </c>
      <c r="B13" s="63" t="s">
        <v>875</v>
      </c>
      <c r="C13" s="63" t="s">
        <v>886</v>
      </c>
      <c r="D13" s="64" t="s">
        <v>887</v>
      </c>
      <c r="E13" s="65">
        <v>19.6636</v>
      </c>
      <c r="F13" s="67">
        <v>221528</v>
      </c>
    </row>
    <row r="14" spans="1:6">
      <c r="A14" s="63">
        <v>9</v>
      </c>
      <c r="B14" s="63" t="s">
        <v>875</v>
      </c>
      <c r="C14" s="63" t="s">
        <v>888</v>
      </c>
      <c r="D14" s="64" t="s">
        <v>889</v>
      </c>
      <c r="E14" s="65">
        <v>7.13699</v>
      </c>
      <c r="F14" s="67">
        <v>133927.2</v>
      </c>
    </row>
    <row r="15" spans="1:6">
      <c r="A15" s="63">
        <v>10</v>
      </c>
      <c r="B15" s="63" t="s">
        <v>875</v>
      </c>
      <c r="C15" s="63" t="s">
        <v>890</v>
      </c>
      <c r="D15" s="64" t="s">
        <v>889</v>
      </c>
      <c r="E15" s="65">
        <v>0.064089</v>
      </c>
      <c r="F15" s="67">
        <v>26500</v>
      </c>
    </row>
    <row r="16" spans="1:6">
      <c r="A16" s="63">
        <v>11</v>
      </c>
      <c r="B16" s="63" t="s">
        <v>875</v>
      </c>
      <c r="C16" s="63" t="s">
        <v>891</v>
      </c>
      <c r="D16" s="64" t="s">
        <v>889</v>
      </c>
      <c r="E16" s="65">
        <v>0.441663</v>
      </c>
      <c r="F16" s="67">
        <v>205543.7</v>
      </c>
    </row>
    <row r="17" spans="1:6">
      <c r="A17" s="63">
        <v>12</v>
      </c>
      <c r="B17" s="63" t="s">
        <v>875</v>
      </c>
      <c r="C17" s="63" t="s">
        <v>892</v>
      </c>
      <c r="D17" s="64" t="s">
        <v>889</v>
      </c>
      <c r="E17" s="65">
        <v>3.104797</v>
      </c>
      <c r="F17" s="67">
        <v>400359.9</v>
      </c>
    </row>
    <row r="18" spans="1:6">
      <c r="A18" s="63">
        <v>13</v>
      </c>
      <c r="B18" s="63" t="s">
        <v>875</v>
      </c>
      <c r="C18" s="63" t="s">
        <v>893</v>
      </c>
      <c r="D18" s="64" t="s">
        <v>889</v>
      </c>
      <c r="E18" s="65">
        <v>6.663036</v>
      </c>
      <c r="F18" s="67">
        <v>195906</v>
      </c>
    </row>
    <row r="19" spans="1:6">
      <c r="A19" s="63">
        <v>14</v>
      </c>
      <c r="B19" s="63" t="s">
        <v>875</v>
      </c>
      <c r="C19" s="63" t="s">
        <v>890</v>
      </c>
      <c r="D19" s="64" t="s">
        <v>889</v>
      </c>
      <c r="E19" s="65">
        <v>23.80168</v>
      </c>
      <c r="F19" s="67">
        <v>200000</v>
      </c>
    </row>
    <row r="20" spans="1:6">
      <c r="A20" s="63">
        <v>15</v>
      </c>
      <c r="B20" s="63" t="s">
        <v>875</v>
      </c>
      <c r="C20" s="63" t="s">
        <v>894</v>
      </c>
      <c r="D20" s="64" t="s">
        <v>889</v>
      </c>
      <c r="E20" s="65">
        <v>9.062348</v>
      </c>
      <c r="F20" s="67">
        <v>15994</v>
      </c>
    </row>
    <row r="21" spans="1:6">
      <c r="A21" s="63">
        <v>16</v>
      </c>
      <c r="B21" s="63" t="s">
        <v>875</v>
      </c>
      <c r="C21" s="63" t="s">
        <v>886</v>
      </c>
      <c r="D21" s="64" t="s">
        <v>895</v>
      </c>
      <c r="E21" s="65">
        <v>2.94956</v>
      </c>
      <c r="F21" s="67">
        <v>29148.22</v>
      </c>
    </row>
    <row r="22" spans="1:6">
      <c r="A22" s="63">
        <v>17</v>
      </c>
      <c r="B22" s="63" t="s">
        <v>875</v>
      </c>
      <c r="C22" s="63" t="s">
        <v>882</v>
      </c>
      <c r="D22" s="64" t="s">
        <v>889</v>
      </c>
      <c r="E22" s="65">
        <v>3.115776</v>
      </c>
      <c r="F22" s="67">
        <v>498000</v>
      </c>
    </row>
    <row r="23" spans="1:6">
      <c r="A23" s="63">
        <v>18</v>
      </c>
      <c r="B23" s="63" t="s">
        <v>875</v>
      </c>
      <c r="C23" s="63" t="s">
        <v>896</v>
      </c>
      <c r="D23" s="64" t="s">
        <v>897</v>
      </c>
      <c r="E23" s="65">
        <v>9.377325</v>
      </c>
      <c r="F23" s="67">
        <v>18642</v>
      </c>
    </row>
    <row r="24" spans="1:6">
      <c r="A24" s="63">
        <v>19</v>
      </c>
      <c r="B24" s="63" t="s">
        <v>875</v>
      </c>
      <c r="C24" s="63" t="s">
        <v>898</v>
      </c>
      <c r="D24" s="64" t="s">
        <v>889</v>
      </c>
      <c r="E24" s="65">
        <v>4.514389</v>
      </c>
      <c r="F24" s="67">
        <v>26372.69</v>
      </c>
    </row>
    <row r="25" spans="1:6">
      <c r="A25" s="63">
        <v>20</v>
      </c>
      <c r="B25" s="63" t="s">
        <v>875</v>
      </c>
      <c r="C25" s="63" t="s">
        <v>878</v>
      </c>
      <c r="D25" s="64" t="s">
        <v>889</v>
      </c>
      <c r="E25" s="65">
        <v>3.112462</v>
      </c>
      <c r="F25" s="67">
        <v>52000</v>
      </c>
    </row>
    <row r="26" spans="1:6">
      <c r="A26" s="63">
        <v>21</v>
      </c>
      <c r="B26" s="63" t="s">
        <v>875</v>
      </c>
      <c r="C26" s="63" t="s">
        <v>899</v>
      </c>
      <c r="D26" s="64" t="s">
        <v>889</v>
      </c>
      <c r="E26" s="65">
        <v>2.930897</v>
      </c>
      <c r="F26" s="67">
        <v>35000</v>
      </c>
    </row>
    <row r="27" spans="1:6">
      <c r="A27" s="63">
        <v>22</v>
      </c>
      <c r="B27" s="63" t="s">
        <v>875</v>
      </c>
      <c r="C27" s="63" t="s">
        <v>900</v>
      </c>
      <c r="D27" s="64" t="s">
        <v>889</v>
      </c>
      <c r="E27" s="65">
        <v>1.334956</v>
      </c>
      <c r="F27" s="67">
        <v>208428</v>
      </c>
    </row>
    <row r="28" spans="1:6">
      <c r="A28" s="63">
        <v>23</v>
      </c>
      <c r="B28" s="63" t="s">
        <v>875</v>
      </c>
      <c r="C28" s="63" t="s">
        <v>884</v>
      </c>
      <c r="D28" s="64" t="s">
        <v>901</v>
      </c>
      <c r="E28" s="65">
        <v>16.58936</v>
      </c>
      <c r="F28" s="67">
        <v>609389</v>
      </c>
    </row>
    <row r="29" spans="1:6">
      <c r="A29" s="63">
        <v>24</v>
      </c>
      <c r="B29" s="63" t="s">
        <v>875</v>
      </c>
      <c r="C29" s="63" t="s">
        <v>902</v>
      </c>
      <c r="D29" s="64" t="s">
        <v>889</v>
      </c>
      <c r="E29" s="65">
        <v>3.441886</v>
      </c>
      <c r="F29" s="67">
        <v>2361300</v>
      </c>
    </row>
    <row r="30" spans="1:6">
      <c r="A30" s="63">
        <v>25</v>
      </c>
      <c r="B30" s="63" t="s">
        <v>875</v>
      </c>
      <c r="C30" s="63" t="s">
        <v>903</v>
      </c>
      <c r="D30" s="64" t="s">
        <v>901</v>
      </c>
      <c r="E30" s="65">
        <v>22.83728</v>
      </c>
      <c r="F30" s="67">
        <v>120000</v>
      </c>
    </row>
    <row r="31" spans="1:6">
      <c r="A31" s="63">
        <v>26</v>
      </c>
      <c r="B31" s="63" t="s">
        <v>875</v>
      </c>
      <c r="C31" s="63" t="s">
        <v>904</v>
      </c>
      <c r="D31" s="64" t="s">
        <v>889</v>
      </c>
      <c r="E31" s="65">
        <v>1.016921</v>
      </c>
      <c r="F31" s="67">
        <v>100000</v>
      </c>
    </row>
    <row r="32" spans="1:6">
      <c r="A32" s="63">
        <v>27</v>
      </c>
      <c r="B32" s="63" t="s">
        <v>875</v>
      </c>
      <c r="C32" s="63" t="s">
        <v>905</v>
      </c>
      <c r="D32" s="64" t="s">
        <v>889</v>
      </c>
      <c r="E32" s="65">
        <v>4.093013</v>
      </c>
      <c r="F32" s="67">
        <v>37591.59</v>
      </c>
    </row>
    <row r="33" spans="1:6">
      <c r="A33" s="63">
        <v>28</v>
      </c>
      <c r="B33" s="63" t="s">
        <v>875</v>
      </c>
      <c r="C33" s="63" t="s">
        <v>906</v>
      </c>
      <c r="D33" s="64" t="s">
        <v>889</v>
      </c>
      <c r="E33" s="65">
        <v>4.198547</v>
      </c>
      <c r="F33" s="67">
        <v>92768.46</v>
      </c>
    </row>
    <row r="34" spans="1:6">
      <c r="A34" s="63">
        <v>29</v>
      </c>
      <c r="B34" s="63" t="s">
        <v>875</v>
      </c>
      <c r="C34" s="63" t="s">
        <v>890</v>
      </c>
      <c r="D34" s="64" t="s">
        <v>889</v>
      </c>
      <c r="E34" s="65">
        <v>4.047244</v>
      </c>
      <c r="F34" s="67">
        <v>147007.3</v>
      </c>
    </row>
    <row r="35" spans="1:6">
      <c r="A35" s="63">
        <v>30</v>
      </c>
      <c r="B35" s="63" t="s">
        <v>875</v>
      </c>
      <c r="C35" s="63" t="s">
        <v>907</v>
      </c>
      <c r="D35" s="64" t="s">
        <v>889</v>
      </c>
      <c r="E35" s="65">
        <v>2.018072</v>
      </c>
      <c r="F35" s="67">
        <v>72075.07</v>
      </c>
    </row>
    <row r="36" spans="1:6">
      <c r="A36" s="63">
        <v>31</v>
      </c>
      <c r="B36" s="63" t="s">
        <v>875</v>
      </c>
      <c r="C36" s="63" t="s">
        <v>908</v>
      </c>
      <c r="D36" s="64" t="s">
        <v>889</v>
      </c>
      <c r="E36" s="65">
        <v>1.410928</v>
      </c>
      <c r="F36" s="67">
        <v>9320</v>
      </c>
    </row>
    <row r="37" spans="1:6">
      <c r="A37" s="63">
        <v>32</v>
      </c>
      <c r="B37" s="63" t="s">
        <v>875</v>
      </c>
      <c r="C37" s="63" t="s">
        <v>909</v>
      </c>
      <c r="D37" s="64" t="s">
        <v>889</v>
      </c>
      <c r="E37" s="65">
        <v>5.772309</v>
      </c>
      <c r="F37" s="67">
        <v>72314.6</v>
      </c>
    </row>
    <row r="38" spans="1:6">
      <c r="A38" s="63">
        <v>33</v>
      </c>
      <c r="B38" s="63" t="s">
        <v>875</v>
      </c>
      <c r="C38" s="63" t="s">
        <v>907</v>
      </c>
      <c r="D38" s="64" t="s">
        <v>910</v>
      </c>
      <c r="E38" s="65">
        <v>3.7962</v>
      </c>
      <c r="F38" s="67">
        <v>32919.9</v>
      </c>
    </row>
    <row r="39" spans="1:6">
      <c r="A39" s="63">
        <v>34</v>
      </c>
      <c r="B39" s="63" t="s">
        <v>875</v>
      </c>
      <c r="C39" s="63" t="s">
        <v>878</v>
      </c>
      <c r="D39" s="64" t="s">
        <v>889</v>
      </c>
      <c r="E39" s="65">
        <v>2.19279</v>
      </c>
      <c r="F39" s="67">
        <v>52075.2</v>
      </c>
    </row>
    <row r="40" spans="1:6">
      <c r="A40" s="63">
        <v>35</v>
      </c>
      <c r="B40" s="63" t="s">
        <v>875</v>
      </c>
      <c r="C40" s="63" t="s">
        <v>911</v>
      </c>
      <c r="D40" s="64" t="s">
        <v>889</v>
      </c>
      <c r="E40" s="65">
        <v>3.345905</v>
      </c>
      <c r="F40" s="67">
        <v>170000</v>
      </c>
    </row>
    <row r="41" spans="1:6">
      <c r="A41" s="63">
        <v>36</v>
      </c>
      <c r="B41" s="63" t="s">
        <v>875</v>
      </c>
      <c r="C41" s="63" t="s">
        <v>912</v>
      </c>
      <c r="D41" s="64" t="s">
        <v>889</v>
      </c>
      <c r="E41" s="65">
        <v>3.327941</v>
      </c>
      <c r="F41" s="67">
        <v>3618000</v>
      </c>
    </row>
    <row r="42" spans="1:6">
      <c r="A42" s="63">
        <v>37</v>
      </c>
      <c r="B42" s="63" t="s">
        <v>875</v>
      </c>
      <c r="C42" s="63" t="s">
        <v>904</v>
      </c>
      <c r="D42" s="64" t="s">
        <v>889</v>
      </c>
      <c r="E42" s="65">
        <v>0.687443</v>
      </c>
      <c r="F42" s="67">
        <v>300000</v>
      </c>
    </row>
    <row r="43" spans="1:6">
      <c r="A43" s="63">
        <v>38</v>
      </c>
      <c r="B43" s="63" t="s">
        <v>875</v>
      </c>
      <c r="C43" s="63" t="s">
        <v>878</v>
      </c>
      <c r="D43" s="64" t="s">
        <v>913</v>
      </c>
      <c r="E43" s="65">
        <v>20.01974</v>
      </c>
      <c r="F43" s="67">
        <v>1000000</v>
      </c>
    </row>
    <row r="44" spans="1:6">
      <c r="A44" s="63">
        <v>39</v>
      </c>
      <c r="B44" s="63" t="s">
        <v>875</v>
      </c>
      <c r="C44" s="63" t="s">
        <v>914</v>
      </c>
      <c r="D44" s="64" t="s">
        <v>889</v>
      </c>
      <c r="E44" s="65">
        <v>1.433999</v>
      </c>
      <c r="F44" s="67">
        <v>173748</v>
      </c>
    </row>
    <row r="45" spans="1:6">
      <c r="A45" s="63">
        <v>40</v>
      </c>
      <c r="B45" s="63" t="s">
        <v>875</v>
      </c>
      <c r="C45" s="63" t="s">
        <v>914</v>
      </c>
      <c r="D45" s="64" t="s">
        <v>915</v>
      </c>
      <c r="E45" s="65">
        <v>18.4652</v>
      </c>
      <c r="F45" s="67">
        <v>10171</v>
      </c>
    </row>
    <row r="46" spans="1:6">
      <c r="A46" s="63">
        <v>41</v>
      </c>
      <c r="B46" s="63" t="s">
        <v>875</v>
      </c>
      <c r="C46" s="63" t="s">
        <v>914</v>
      </c>
      <c r="D46" s="64" t="s">
        <v>916</v>
      </c>
      <c r="E46" s="65">
        <v>0.672</v>
      </c>
      <c r="F46" s="67">
        <v>1348099.3</v>
      </c>
    </row>
    <row r="47" spans="1:6">
      <c r="A47" s="63">
        <v>42</v>
      </c>
      <c r="B47" s="63" t="s">
        <v>875</v>
      </c>
      <c r="C47" s="63" t="s">
        <v>878</v>
      </c>
      <c r="D47" s="64" t="s">
        <v>889</v>
      </c>
      <c r="E47" s="65">
        <v>13.139</v>
      </c>
      <c r="F47" s="67">
        <v>38112</v>
      </c>
    </row>
    <row r="48" spans="1:6">
      <c r="A48" s="63">
        <v>43</v>
      </c>
      <c r="B48" s="63" t="s">
        <v>875</v>
      </c>
      <c r="C48" s="63" t="s">
        <v>917</v>
      </c>
      <c r="D48" s="64" t="s">
        <v>918</v>
      </c>
      <c r="E48" s="65">
        <v>19.01288</v>
      </c>
      <c r="F48" s="67">
        <v>621000</v>
      </c>
    </row>
    <row r="49" spans="1:6">
      <c r="A49" s="63">
        <v>44</v>
      </c>
      <c r="B49" s="63" t="s">
        <v>875</v>
      </c>
      <c r="C49" s="63" t="s">
        <v>905</v>
      </c>
      <c r="D49" s="64" t="s">
        <v>910</v>
      </c>
      <c r="E49" s="65">
        <v>4.1439</v>
      </c>
      <c r="F49" s="67">
        <v>463100</v>
      </c>
    </row>
    <row r="50" spans="1:6">
      <c r="A50" s="63">
        <v>45</v>
      </c>
      <c r="B50" s="63" t="s">
        <v>875</v>
      </c>
      <c r="C50" s="63" t="s">
        <v>919</v>
      </c>
      <c r="D50" s="64" t="s">
        <v>889</v>
      </c>
      <c r="E50" s="65">
        <v>0.508649</v>
      </c>
      <c r="F50" s="67">
        <v>129087.62</v>
      </c>
    </row>
    <row r="51" spans="1:6">
      <c r="A51" s="63">
        <v>46</v>
      </c>
      <c r="B51" s="63" t="s">
        <v>875</v>
      </c>
      <c r="C51" s="63" t="s">
        <v>920</v>
      </c>
      <c r="D51" s="64" t="s">
        <v>910</v>
      </c>
      <c r="E51" s="65">
        <v>5.04336</v>
      </c>
      <c r="F51" s="67">
        <v>25915.8</v>
      </c>
    </row>
    <row r="52" spans="1:6">
      <c r="A52" s="63">
        <v>47</v>
      </c>
      <c r="B52" s="63" t="s">
        <v>875</v>
      </c>
      <c r="C52" s="63" t="s">
        <v>921</v>
      </c>
      <c r="D52" s="64" t="s">
        <v>889</v>
      </c>
      <c r="E52" s="65">
        <v>0.989924</v>
      </c>
      <c r="F52" s="67">
        <v>31672</v>
      </c>
    </row>
    <row r="53" spans="1:6">
      <c r="A53" s="63">
        <v>48</v>
      </c>
      <c r="B53" s="63" t="s">
        <v>875</v>
      </c>
      <c r="C53" s="63" t="s">
        <v>922</v>
      </c>
      <c r="D53" s="64" t="s">
        <v>923</v>
      </c>
      <c r="E53" s="65">
        <v>3.125775</v>
      </c>
      <c r="F53" s="67">
        <v>52844.14</v>
      </c>
    </row>
    <row r="54" spans="1:6">
      <c r="A54" s="63">
        <v>49</v>
      </c>
      <c r="B54" s="63" t="s">
        <v>875</v>
      </c>
      <c r="C54" s="63" t="s">
        <v>924</v>
      </c>
      <c r="D54" s="64" t="s">
        <v>889</v>
      </c>
      <c r="E54" s="65">
        <v>5.126626</v>
      </c>
      <c r="F54" s="67">
        <v>15541.48</v>
      </c>
    </row>
    <row r="55" spans="1:6">
      <c r="A55" s="63">
        <v>50</v>
      </c>
      <c r="B55" s="63" t="s">
        <v>875</v>
      </c>
      <c r="C55" s="63" t="s">
        <v>925</v>
      </c>
      <c r="D55" s="64" t="s">
        <v>910</v>
      </c>
      <c r="E55" s="65">
        <v>5.22576</v>
      </c>
      <c r="F55" s="67">
        <v>8811.6</v>
      </c>
    </row>
    <row r="56" spans="1:6">
      <c r="A56" s="63">
        <v>51</v>
      </c>
      <c r="B56" s="63" t="s">
        <v>875</v>
      </c>
      <c r="C56" s="63" t="s">
        <v>926</v>
      </c>
      <c r="D56" s="64" t="s">
        <v>927</v>
      </c>
      <c r="E56" s="65">
        <v>7.96</v>
      </c>
      <c r="F56" s="67">
        <v>12882</v>
      </c>
    </row>
    <row r="57" spans="1:6">
      <c r="A57" s="63">
        <v>52</v>
      </c>
      <c r="B57" s="63" t="s">
        <v>875</v>
      </c>
      <c r="C57" s="63" t="s">
        <v>924</v>
      </c>
      <c r="D57" s="64" t="s">
        <v>915</v>
      </c>
      <c r="E57" s="65">
        <v>23.22588</v>
      </c>
      <c r="F57" s="67">
        <v>23500</v>
      </c>
    </row>
    <row r="58" ht="22.5" spans="1:6">
      <c r="A58" s="63">
        <v>53</v>
      </c>
      <c r="B58" s="63" t="s">
        <v>875</v>
      </c>
      <c r="C58" s="63" t="s">
        <v>928</v>
      </c>
      <c r="D58" s="64" t="s">
        <v>929</v>
      </c>
      <c r="E58" s="65">
        <v>5.92306</v>
      </c>
      <c r="F58" s="67">
        <v>202824.76</v>
      </c>
    </row>
    <row r="59" spans="1:6">
      <c r="A59" s="63">
        <v>54</v>
      </c>
      <c r="B59" s="63" t="s">
        <v>875</v>
      </c>
      <c r="C59" s="63" t="s">
        <v>930</v>
      </c>
      <c r="D59" s="64" t="s">
        <v>889</v>
      </c>
      <c r="E59" s="65">
        <v>3.559368</v>
      </c>
      <c r="F59" s="67">
        <v>15429.28</v>
      </c>
    </row>
    <row r="60" spans="1:6">
      <c r="A60" s="63">
        <v>55</v>
      </c>
      <c r="B60" s="63" t="s">
        <v>875</v>
      </c>
      <c r="C60" s="63" t="s">
        <v>931</v>
      </c>
      <c r="D60" s="64" t="s">
        <v>889</v>
      </c>
      <c r="E60" s="65">
        <v>0.168263</v>
      </c>
      <c r="F60" s="67">
        <v>15994</v>
      </c>
    </row>
    <row r="61" spans="1:6">
      <c r="A61" s="63">
        <v>56</v>
      </c>
      <c r="B61" s="63" t="s">
        <v>875</v>
      </c>
      <c r="C61" s="63" t="s">
        <v>925</v>
      </c>
      <c r="D61" s="64" t="s">
        <v>932</v>
      </c>
      <c r="E61" s="65">
        <v>2.22404</v>
      </c>
      <c r="F61" s="67">
        <v>42750.8</v>
      </c>
    </row>
    <row r="62" spans="1:6">
      <c r="A62" s="63">
        <v>57</v>
      </c>
      <c r="B62" s="63" t="s">
        <v>875</v>
      </c>
      <c r="C62" s="63" t="s">
        <v>933</v>
      </c>
      <c r="D62" s="64" t="s">
        <v>932</v>
      </c>
      <c r="E62" s="65">
        <v>19.13304</v>
      </c>
      <c r="F62" s="67">
        <v>201879.2</v>
      </c>
    </row>
    <row r="63" spans="1:6">
      <c r="A63" s="63">
        <v>58</v>
      </c>
      <c r="B63" s="63" t="s">
        <v>875</v>
      </c>
      <c r="C63" s="63" t="s">
        <v>934</v>
      </c>
      <c r="D63" s="64" t="s">
        <v>889</v>
      </c>
      <c r="E63" s="65">
        <v>5.26361</v>
      </c>
      <c r="F63" s="67">
        <v>60809.2</v>
      </c>
    </row>
    <row r="64" spans="1:6">
      <c r="A64" s="63">
        <v>59</v>
      </c>
      <c r="B64" s="63" t="s">
        <v>875</v>
      </c>
      <c r="C64" s="63" t="s">
        <v>935</v>
      </c>
      <c r="D64" s="64" t="s">
        <v>889</v>
      </c>
      <c r="E64" s="65">
        <v>2.977131</v>
      </c>
      <c r="F64" s="67">
        <v>49533</v>
      </c>
    </row>
    <row r="65" spans="1:6">
      <c r="A65" s="63">
        <v>60</v>
      </c>
      <c r="B65" s="63" t="s">
        <v>875</v>
      </c>
      <c r="C65" s="63" t="s">
        <v>936</v>
      </c>
      <c r="D65" s="64" t="s">
        <v>889</v>
      </c>
      <c r="E65" s="65">
        <v>0.264472</v>
      </c>
      <c r="F65" s="67">
        <v>15994</v>
      </c>
    </row>
    <row r="66" spans="1:6">
      <c r="A66" s="63">
        <v>61</v>
      </c>
      <c r="B66" s="63" t="s">
        <v>875</v>
      </c>
      <c r="C66" s="63" t="s">
        <v>920</v>
      </c>
      <c r="D66" s="64" t="s">
        <v>932</v>
      </c>
      <c r="E66" s="65">
        <v>23.61892</v>
      </c>
      <c r="F66" s="67">
        <v>316290.8</v>
      </c>
    </row>
    <row r="67" spans="1:6">
      <c r="A67" s="63">
        <v>62</v>
      </c>
      <c r="B67" s="63" t="s">
        <v>875</v>
      </c>
      <c r="C67" s="63" t="s">
        <v>937</v>
      </c>
      <c r="D67" s="64" t="s">
        <v>932</v>
      </c>
      <c r="E67" s="65">
        <v>18.44352</v>
      </c>
      <c r="F67" s="67">
        <v>160107.2</v>
      </c>
    </row>
    <row r="68" spans="1:6">
      <c r="A68" s="63">
        <v>63</v>
      </c>
      <c r="B68" s="63" t="s">
        <v>875</v>
      </c>
      <c r="C68" s="63" t="s">
        <v>922</v>
      </c>
      <c r="D68" s="64" t="s">
        <v>938</v>
      </c>
      <c r="E68" s="65">
        <v>13.3042</v>
      </c>
      <c r="F68" s="67">
        <v>2871394.2</v>
      </c>
    </row>
    <row r="69" spans="1:6">
      <c r="A69" s="63">
        <v>64</v>
      </c>
      <c r="B69" s="63" t="s">
        <v>875</v>
      </c>
      <c r="C69" s="63" t="s">
        <v>939</v>
      </c>
      <c r="D69" s="64" t="s">
        <v>940</v>
      </c>
      <c r="E69" s="65">
        <v>20.6088</v>
      </c>
      <c r="F69" s="67">
        <v>1357296</v>
      </c>
    </row>
    <row r="70" spans="1:6">
      <c r="A70" s="68">
        <v>65</v>
      </c>
      <c r="B70" s="68" t="s">
        <v>875</v>
      </c>
      <c r="C70" s="68" t="s">
        <v>921</v>
      </c>
      <c r="D70" s="64" t="s">
        <v>941</v>
      </c>
      <c r="E70" s="65">
        <v>12.31884</v>
      </c>
      <c r="F70" s="67">
        <v>510482</v>
      </c>
    </row>
    <row r="71" spans="1:6">
      <c r="A71" s="69"/>
      <c r="B71" s="69"/>
      <c r="C71" s="69"/>
      <c r="D71" s="64" t="s">
        <v>941</v>
      </c>
      <c r="E71" s="65">
        <v>27.00318</v>
      </c>
      <c r="F71" s="67">
        <v>200000</v>
      </c>
    </row>
    <row r="72" spans="1:6">
      <c r="A72" s="69"/>
      <c r="B72" s="69"/>
      <c r="C72" s="69"/>
      <c r="D72" s="64" t="s">
        <v>941</v>
      </c>
      <c r="E72" s="65">
        <v>11.27916</v>
      </c>
      <c r="F72" s="67">
        <v>24956.37</v>
      </c>
    </row>
    <row r="73" spans="1:6">
      <c r="A73" s="69"/>
      <c r="B73" s="69"/>
      <c r="C73" s="69"/>
      <c r="D73" s="64" t="s">
        <v>941</v>
      </c>
      <c r="E73" s="65">
        <v>5.88616</v>
      </c>
      <c r="F73" s="67">
        <v>177235.47</v>
      </c>
    </row>
    <row r="74" spans="1:6">
      <c r="A74" s="69"/>
      <c r="B74" s="69"/>
      <c r="C74" s="69"/>
      <c r="D74" s="64" t="s">
        <v>941</v>
      </c>
      <c r="E74" s="65">
        <v>34.2855</v>
      </c>
      <c r="F74" s="67">
        <v>729198.13</v>
      </c>
    </row>
    <row r="75" spans="1:6">
      <c r="A75" s="69"/>
      <c r="B75" s="69"/>
      <c r="C75" s="69"/>
      <c r="D75" s="64" t="s">
        <v>941</v>
      </c>
      <c r="E75" s="65">
        <v>5.60882</v>
      </c>
      <c r="F75" s="67">
        <v>502077.21</v>
      </c>
    </row>
    <row r="76" spans="1:6">
      <c r="A76" s="70"/>
      <c r="B76" s="70"/>
      <c r="C76" s="70"/>
      <c r="D76" s="64" t="s">
        <v>941</v>
      </c>
      <c r="E76" s="65">
        <v>6.07966</v>
      </c>
      <c r="F76" s="67">
        <v>110280.42</v>
      </c>
    </row>
    <row r="77" spans="1:6">
      <c r="A77" s="68">
        <v>65</v>
      </c>
      <c r="B77" s="68" t="s">
        <v>875</v>
      </c>
      <c r="C77" s="68" t="s">
        <v>921</v>
      </c>
      <c r="D77" s="64" t="s">
        <v>941</v>
      </c>
      <c r="E77" s="65">
        <v>23.83968</v>
      </c>
      <c r="F77" s="67">
        <v>139000</v>
      </c>
    </row>
    <row r="78" spans="1:6">
      <c r="A78" s="69"/>
      <c r="B78" s="69"/>
      <c r="C78" s="69"/>
      <c r="D78" s="64" t="s">
        <v>941</v>
      </c>
      <c r="E78" s="65">
        <v>5.41062</v>
      </c>
      <c r="F78" s="67">
        <v>53439.85</v>
      </c>
    </row>
    <row r="79" spans="1:6">
      <c r="A79" s="69"/>
      <c r="B79" s="69"/>
      <c r="C79" s="69"/>
      <c r="D79" s="64" t="s">
        <v>941</v>
      </c>
      <c r="E79" s="65">
        <v>11.98368</v>
      </c>
      <c r="F79" s="67">
        <v>118891.7</v>
      </c>
    </row>
    <row r="80" spans="1:6">
      <c r="A80" s="69"/>
      <c r="B80" s="69"/>
      <c r="C80" s="69"/>
      <c r="D80" s="64" t="s">
        <v>941</v>
      </c>
      <c r="E80" s="65">
        <v>4.1194</v>
      </c>
      <c r="F80" s="67">
        <v>450</v>
      </c>
    </row>
    <row r="81" spans="1:6">
      <c r="A81" s="69"/>
      <c r="B81" s="69"/>
      <c r="C81" s="69"/>
      <c r="D81" s="64" t="s">
        <v>941</v>
      </c>
      <c r="E81" s="65">
        <v>6.03236</v>
      </c>
      <c r="F81" s="67">
        <v>25850.61</v>
      </c>
    </row>
    <row r="82" spans="1:6">
      <c r="A82" s="69"/>
      <c r="B82" s="69"/>
      <c r="C82" s="69"/>
      <c r="D82" s="64" t="s">
        <v>941</v>
      </c>
      <c r="E82" s="65">
        <v>37.0386</v>
      </c>
      <c r="F82" s="67">
        <v>9734.06</v>
      </c>
    </row>
    <row r="83" spans="1:6">
      <c r="A83" s="69"/>
      <c r="B83" s="69"/>
      <c r="C83" s="69"/>
      <c r="D83" s="64" t="s">
        <v>941</v>
      </c>
      <c r="E83" s="65">
        <v>16.73748</v>
      </c>
      <c r="F83" s="67">
        <v>2901.25</v>
      </c>
    </row>
    <row r="84" spans="1:6">
      <c r="A84" s="69"/>
      <c r="B84" s="69"/>
      <c r="C84" s="69"/>
      <c r="D84" s="64" t="s">
        <v>941</v>
      </c>
      <c r="E84" s="65">
        <v>12.9048</v>
      </c>
      <c r="F84" s="67">
        <v>622.04</v>
      </c>
    </row>
    <row r="85" spans="1:6">
      <c r="A85" s="69"/>
      <c r="B85" s="69"/>
      <c r="C85" s="69"/>
      <c r="D85" s="64" t="s">
        <v>941</v>
      </c>
      <c r="E85" s="65">
        <v>4.13166</v>
      </c>
      <c r="F85" s="67">
        <v>16600.8</v>
      </c>
    </row>
    <row r="86" spans="1:6">
      <c r="A86" s="69"/>
      <c r="B86" s="69"/>
      <c r="C86" s="69"/>
      <c r="D86" s="64" t="s">
        <v>941</v>
      </c>
      <c r="E86" s="65">
        <v>17.1513</v>
      </c>
      <c r="F86" s="67">
        <v>262768</v>
      </c>
    </row>
    <row r="87" spans="1:6">
      <c r="A87" s="69"/>
      <c r="B87" s="69"/>
      <c r="C87" s="69"/>
      <c r="D87" s="64" t="s">
        <v>941</v>
      </c>
      <c r="E87" s="65">
        <v>17.1513</v>
      </c>
      <c r="F87" s="67">
        <v>30097.49</v>
      </c>
    </row>
    <row r="88" spans="1:6">
      <c r="A88" s="70"/>
      <c r="B88" s="70"/>
      <c r="C88" s="70"/>
      <c r="D88" s="64" t="s">
        <v>941</v>
      </c>
      <c r="E88" s="65">
        <v>11.8934</v>
      </c>
      <c r="F88" s="67">
        <v>33709.32</v>
      </c>
    </row>
    <row r="89" spans="1:5">
      <c r="A89" s="71">
        <v>66</v>
      </c>
      <c r="B89" s="71" t="s">
        <v>281</v>
      </c>
      <c r="C89" s="72" t="s">
        <v>936</v>
      </c>
      <c r="D89" s="73" t="s">
        <v>942</v>
      </c>
      <c r="E89" s="65">
        <v>20</v>
      </c>
    </row>
    <row r="90" spans="1:5">
      <c r="A90" s="71">
        <v>67</v>
      </c>
      <c r="B90" s="71" t="s">
        <v>281</v>
      </c>
      <c r="C90" s="72" t="s">
        <v>943</v>
      </c>
      <c r="D90" s="73" t="s">
        <v>944</v>
      </c>
      <c r="E90" s="65">
        <v>3.5</v>
      </c>
    </row>
    <row r="91" spans="1:5">
      <c r="A91" s="71">
        <v>68</v>
      </c>
      <c r="B91" s="71" t="s">
        <v>281</v>
      </c>
      <c r="C91" s="72" t="s">
        <v>945</v>
      </c>
      <c r="D91" s="73" t="s">
        <v>946</v>
      </c>
      <c r="E91" s="65">
        <v>20</v>
      </c>
    </row>
    <row r="92" spans="1:5">
      <c r="A92" s="71">
        <v>69</v>
      </c>
      <c r="B92" s="71" t="s">
        <v>281</v>
      </c>
      <c r="C92" s="72" t="s">
        <v>924</v>
      </c>
      <c r="D92" s="73" t="s">
        <v>947</v>
      </c>
      <c r="E92" s="65">
        <v>2.7</v>
      </c>
    </row>
    <row r="93" ht="22.5" spans="1:5">
      <c r="A93" s="71">
        <v>70</v>
      </c>
      <c r="B93" s="71" t="s">
        <v>281</v>
      </c>
      <c r="C93" s="72" t="s">
        <v>924</v>
      </c>
      <c r="D93" s="73" t="s">
        <v>948</v>
      </c>
      <c r="E93" s="65">
        <v>311.287</v>
      </c>
    </row>
    <row r="94" spans="1:5">
      <c r="A94" s="71">
        <v>71</v>
      </c>
      <c r="B94" s="71" t="s">
        <v>281</v>
      </c>
      <c r="C94" s="72" t="s">
        <v>949</v>
      </c>
      <c r="D94" s="73" t="s">
        <v>950</v>
      </c>
      <c r="E94" s="65">
        <v>15.87</v>
      </c>
    </row>
    <row r="95" ht="22.5" spans="1:5">
      <c r="A95" s="71">
        <v>72</v>
      </c>
      <c r="B95" s="71" t="s">
        <v>281</v>
      </c>
      <c r="C95" s="72" t="s">
        <v>924</v>
      </c>
      <c r="D95" s="73" t="s">
        <v>951</v>
      </c>
      <c r="E95" s="65">
        <v>1436.62</v>
      </c>
    </row>
    <row r="96" spans="1:5">
      <c r="A96" s="71">
        <v>73</v>
      </c>
      <c r="B96" s="71" t="s">
        <v>281</v>
      </c>
      <c r="C96" s="72" t="s">
        <v>924</v>
      </c>
      <c r="D96" s="73" t="s">
        <v>952</v>
      </c>
      <c r="E96" s="65">
        <v>27.4</v>
      </c>
    </row>
    <row r="97" spans="1:5">
      <c r="A97" s="71">
        <v>74</v>
      </c>
      <c r="B97" s="71" t="s">
        <v>281</v>
      </c>
      <c r="C97" s="72" t="s">
        <v>953</v>
      </c>
      <c r="D97" s="73" t="s">
        <v>954</v>
      </c>
      <c r="E97" s="65">
        <v>7.566636</v>
      </c>
    </row>
    <row r="98" spans="1:5">
      <c r="A98" s="71">
        <v>75</v>
      </c>
      <c r="B98" s="71" t="s">
        <v>281</v>
      </c>
      <c r="C98" s="72" t="s">
        <v>928</v>
      </c>
      <c r="D98" s="73" t="s">
        <v>955</v>
      </c>
      <c r="E98" s="65">
        <v>258.08</v>
      </c>
    </row>
    <row r="99" spans="1:5">
      <c r="A99" s="71">
        <v>76</v>
      </c>
      <c r="B99" s="71" t="s">
        <v>281</v>
      </c>
      <c r="C99" s="72" t="s">
        <v>956</v>
      </c>
      <c r="D99" s="73" t="s">
        <v>957</v>
      </c>
      <c r="E99" s="65">
        <v>18</v>
      </c>
    </row>
    <row r="100" spans="1:5">
      <c r="A100" s="71">
        <v>77</v>
      </c>
      <c r="B100" s="71" t="s">
        <v>281</v>
      </c>
      <c r="C100" s="72" t="s">
        <v>928</v>
      </c>
      <c r="D100" s="73" t="s">
        <v>958</v>
      </c>
      <c r="E100" s="65">
        <v>10.9785</v>
      </c>
    </row>
    <row r="101" ht="22.5" spans="1:5">
      <c r="A101" s="71">
        <v>78</v>
      </c>
      <c r="B101" s="71" t="s">
        <v>281</v>
      </c>
      <c r="C101" s="72" t="s">
        <v>922</v>
      </c>
      <c r="D101" s="73" t="s">
        <v>959</v>
      </c>
      <c r="E101" s="65">
        <v>6.66</v>
      </c>
    </row>
    <row r="102" spans="1:5">
      <c r="A102" s="71">
        <v>79</v>
      </c>
      <c r="B102" s="71" t="s">
        <v>281</v>
      </c>
      <c r="C102" s="72" t="s">
        <v>928</v>
      </c>
      <c r="D102" s="73" t="s">
        <v>960</v>
      </c>
      <c r="E102" s="65">
        <v>70</v>
      </c>
    </row>
    <row r="103" spans="1:5">
      <c r="A103" s="71">
        <v>80</v>
      </c>
      <c r="B103" s="71" t="s">
        <v>281</v>
      </c>
      <c r="C103" s="71" t="s">
        <v>961</v>
      </c>
      <c r="D103" s="74" t="s">
        <v>962</v>
      </c>
      <c r="E103" s="65">
        <v>5</v>
      </c>
    </row>
    <row r="104" spans="1:5">
      <c r="A104" s="71"/>
      <c r="B104" s="71" t="s">
        <v>281</v>
      </c>
      <c r="C104" s="71"/>
      <c r="D104" s="74"/>
      <c r="E104" s="65">
        <v>5</v>
      </c>
    </row>
    <row r="105" spans="1:5">
      <c r="A105" s="71">
        <v>81</v>
      </c>
      <c r="B105" s="71" t="s">
        <v>281</v>
      </c>
      <c r="C105" s="71" t="s">
        <v>963</v>
      </c>
      <c r="D105" s="73" t="s">
        <v>964</v>
      </c>
      <c r="E105" s="65">
        <v>3.02</v>
      </c>
    </row>
    <row r="106" spans="1:5">
      <c r="A106" s="71"/>
      <c r="B106" s="71" t="s">
        <v>281</v>
      </c>
      <c r="C106" s="71"/>
      <c r="D106" s="73" t="s">
        <v>964</v>
      </c>
      <c r="E106" s="65">
        <v>0.8</v>
      </c>
    </row>
    <row r="107" spans="1:5">
      <c r="A107" s="71"/>
      <c r="B107" s="71" t="s">
        <v>281</v>
      </c>
      <c r="C107" s="71"/>
      <c r="D107" s="73" t="s">
        <v>964</v>
      </c>
      <c r="E107" s="65">
        <v>1.08</v>
      </c>
    </row>
    <row r="108" spans="1:5">
      <c r="A108" s="71"/>
      <c r="B108" s="71" t="s">
        <v>281</v>
      </c>
      <c r="C108" s="71"/>
      <c r="D108" s="73" t="s">
        <v>964</v>
      </c>
      <c r="E108" s="65">
        <v>4.808</v>
      </c>
    </row>
    <row r="109" spans="1:5">
      <c r="A109" s="71">
        <v>82</v>
      </c>
      <c r="B109" s="71" t="s">
        <v>281</v>
      </c>
      <c r="C109" s="72" t="s">
        <v>924</v>
      </c>
      <c r="D109" s="73" t="s">
        <v>965</v>
      </c>
      <c r="E109" s="65">
        <v>189.427</v>
      </c>
    </row>
    <row r="110" spans="1:5">
      <c r="A110" s="71">
        <v>83</v>
      </c>
      <c r="B110" s="71" t="s">
        <v>281</v>
      </c>
      <c r="C110" s="72" t="s">
        <v>966</v>
      </c>
      <c r="D110" s="73" t="s">
        <v>967</v>
      </c>
      <c r="E110" s="65">
        <v>4.34</v>
      </c>
    </row>
    <row r="111" spans="1:5">
      <c r="A111" s="71">
        <v>84</v>
      </c>
      <c r="B111" s="71" t="s">
        <v>281</v>
      </c>
      <c r="C111" s="72" t="s">
        <v>968</v>
      </c>
      <c r="D111" s="73" t="s">
        <v>969</v>
      </c>
      <c r="E111" s="65">
        <v>0.84</v>
      </c>
    </row>
    <row r="112" spans="1:5">
      <c r="A112" s="71">
        <v>85</v>
      </c>
      <c r="B112" s="71" t="s">
        <v>281</v>
      </c>
      <c r="C112" s="72" t="s">
        <v>970</v>
      </c>
      <c r="D112" s="73" t="s">
        <v>971</v>
      </c>
      <c r="E112" s="65">
        <v>60</v>
      </c>
    </row>
    <row r="113" ht="22.5" spans="1:5">
      <c r="A113" s="71">
        <v>86</v>
      </c>
      <c r="B113" s="71" t="s">
        <v>281</v>
      </c>
      <c r="C113" s="72" t="s">
        <v>972</v>
      </c>
      <c r="D113" s="73" t="s">
        <v>973</v>
      </c>
      <c r="E113" s="65">
        <v>3.5</v>
      </c>
    </row>
    <row r="114" spans="1:5">
      <c r="A114" s="71">
        <v>87</v>
      </c>
      <c r="B114" s="71" t="s">
        <v>281</v>
      </c>
      <c r="C114" s="72" t="s">
        <v>924</v>
      </c>
      <c r="D114" s="73" t="s">
        <v>952</v>
      </c>
      <c r="E114" s="65">
        <v>6.76</v>
      </c>
    </row>
    <row r="115" spans="1:5">
      <c r="A115" s="71">
        <v>88</v>
      </c>
      <c r="B115" s="71" t="s">
        <v>281</v>
      </c>
      <c r="C115" s="72" t="s">
        <v>961</v>
      </c>
      <c r="D115" s="73" t="s">
        <v>974</v>
      </c>
      <c r="E115" s="65">
        <v>9.45</v>
      </c>
    </row>
    <row r="116" spans="1:5">
      <c r="A116" s="71">
        <v>89</v>
      </c>
      <c r="B116" s="71" t="s">
        <v>281</v>
      </c>
      <c r="C116" s="72" t="s">
        <v>956</v>
      </c>
      <c r="D116" s="73" t="s">
        <v>975</v>
      </c>
      <c r="E116" s="65">
        <v>10</v>
      </c>
    </row>
    <row r="117" spans="1:5">
      <c r="A117" s="71">
        <v>90</v>
      </c>
      <c r="B117" s="71" t="s">
        <v>281</v>
      </c>
      <c r="C117" s="72" t="s">
        <v>976</v>
      </c>
      <c r="D117" s="73" t="s">
        <v>977</v>
      </c>
      <c r="E117" s="65">
        <v>7.5</v>
      </c>
    </row>
    <row r="118" ht="22.5" spans="1:5">
      <c r="A118" s="71">
        <v>91</v>
      </c>
      <c r="B118" s="71" t="s">
        <v>281</v>
      </c>
      <c r="C118" s="72" t="s">
        <v>966</v>
      </c>
      <c r="D118" s="73" t="s">
        <v>978</v>
      </c>
      <c r="E118" s="65">
        <v>10</v>
      </c>
    </row>
    <row r="119" spans="1:5">
      <c r="A119" s="71">
        <v>92</v>
      </c>
      <c r="B119" s="71" t="s">
        <v>281</v>
      </c>
      <c r="C119" s="72" t="s">
        <v>979</v>
      </c>
      <c r="D119" s="73" t="s">
        <v>980</v>
      </c>
      <c r="E119" s="65">
        <v>13.816</v>
      </c>
    </row>
    <row r="120" spans="1:5">
      <c r="A120" s="71">
        <v>93</v>
      </c>
      <c r="B120" s="71" t="s">
        <v>281</v>
      </c>
      <c r="C120" s="72" t="s">
        <v>981</v>
      </c>
      <c r="D120" s="73" t="s">
        <v>982</v>
      </c>
      <c r="E120" s="65">
        <v>1.75</v>
      </c>
    </row>
    <row r="121" spans="1:5">
      <c r="A121" s="71">
        <v>94</v>
      </c>
      <c r="B121" s="71" t="s">
        <v>281</v>
      </c>
      <c r="C121" s="72" t="s">
        <v>983</v>
      </c>
      <c r="D121" s="73" t="s">
        <v>984</v>
      </c>
      <c r="E121" s="65">
        <v>3.9402</v>
      </c>
    </row>
    <row r="122" spans="1:5">
      <c r="A122" s="71">
        <v>95</v>
      </c>
      <c r="B122" s="71" t="s">
        <v>281</v>
      </c>
      <c r="C122" s="72" t="s">
        <v>936</v>
      </c>
      <c r="D122" s="73" t="s">
        <v>985</v>
      </c>
      <c r="E122" s="65">
        <v>30</v>
      </c>
    </row>
    <row r="123" spans="1:5">
      <c r="A123" s="71">
        <v>96</v>
      </c>
      <c r="B123" s="71" t="s">
        <v>281</v>
      </c>
      <c r="C123" s="72" t="s">
        <v>933</v>
      </c>
      <c r="D123" s="73" t="s">
        <v>986</v>
      </c>
      <c r="E123" s="65">
        <v>62.81</v>
      </c>
    </row>
    <row r="124" spans="1:5">
      <c r="A124" s="71">
        <v>97</v>
      </c>
      <c r="B124" s="71" t="s">
        <v>281</v>
      </c>
      <c r="C124" s="72" t="s">
        <v>987</v>
      </c>
      <c r="D124" s="73" t="s">
        <v>988</v>
      </c>
      <c r="E124" s="65">
        <v>149.23</v>
      </c>
    </row>
    <row r="125" spans="1:5">
      <c r="A125" s="71">
        <v>98</v>
      </c>
      <c r="B125" s="71" t="s">
        <v>281</v>
      </c>
      <c r="C125" s="72" t="s">
        <v>979</v>
      </c>
      <c r="D125" s="73" t="s">
        <v>989</v>
      </c>
      <c r="E125" s="65">
        <v>8.7657</v>
      </c>
    </row>
    <row r="126" spans="1:5">
      <c r="A126" s="71">
        <v>99</v>
      </c>
      <c r="B126" s="71" t="s">
        <v>281</v>
      </c>
      <c r="C126" s="72" t="s">
        <v>961</v>
      </c>
      <c r="D126" s="73" t="s">
        <v>990</v>
      </c>
      <c r="E126" s="65">
        <v>23.375</v>
      </c>
    </row>
    <row r="127" spans="1:5">
      <c r="A127" s="71">
        <v>100</v>
      </c>
      <c r="B127" s="71" t="s">
        <v>281</v>
      </c>
      <c r="C127" s="72" t="s">
        <v>991</v>
      </c>
      <c r="D127" s="73" t="s">
        <v>992</v>
      </c>
      <c r="E127" s="65">
        <v>1.2095</v>
      </c>
    </row>
    <row r="128" spans="1:5">
      <c r="A128" s="71">
        <v>101</v>
      </c>
      <c r="B128" s="71" t="s">
        <v>281</v>
      </c>
      <c r="C128" s="71" t="s">
        <v>956</v>
      </c>
      <c r="D128" s="73" t="s">
        <v>993</v>
      </c>
      <c r="E128" s="65">
        <v>0.2</v>
      </c>
    </row>
    <row r="129" spans="1:5">
      <c r="A129" s="71"/>
      <c r="B129" s="71" t="s">
        <v>281</v>
      </c>
      <c r="C129" s="71"/>
      <c r="D129" s="73" t="s">
        <v>993</v>
      </c>
      <c r="E129" s="65">
        <v>3.45</v>
      </c>
    </row>
    <row r="130" spans="1:5">
      <c r="A130" s="71"/>
      <c r="B130" s="71" t="s">
        <v>281</v>
      </c>
      <c r="C130" s="71"/>
      <c r="D130" s="73" t="s">
        <v>993</v>
      </c>
      <c r="E130" s="65">
        <v>0.69</v>
      </c>
    </row>
    <row r="131" ht="22.5" spans="1:5">
      <c r="A131" s="71"/>
      <c r="B131" s="71" t="s">
        <v>281</v>
      </c>
      <c r="C131" s="71"/>
      <c r="D131" s="73" t="s">
        <v>994</v>
      </c>
      <c r="E131" s="65">
        <v>27.348</v>
      </c>
    </row>
    <row r="132" spans="1:5">
      <c r="A132" s="71">
        <v>102</v>
      </c>
      <c r="B132" s="71" t="s">
        <v>281</v>
      </c>
      <c r="C132" s="72" t="s">
        <v>956</v>
      </c>
      <c r="D132" s="73" t="s">
        <v>995</v>
      </c>
      <c r="E132" s="65">
        <v>21</v>
      </c>
    </row>
    <row r="133" spans="1:5">
      <c r="A133" s="71">
        <v>103</v>
      </c>
      <c r="B133" s="71" t="s">
        <v>281</v>
      </c>
      <c r="C133" s="72" t="s">
        <v>968</v>
      </c>
      <c r="D133" s="73" t="s">
        <v>996</v>
      </c>
      <c r="E133" s="65">
        <v>200</v>
      </c>
    </row>
    <row r="134" spans="1:5">
      <c r="A134" s="71">
        <v>104</v>
      </c>
      <c r="B134" s="71" t="s">
        <v>281</v>
      </c>
      <c r="C134" s="72" t="s">
        <v>924</v>
      </c>
      <c r="D134" s="73" t="s">
        <v>997</v>
      </c>
      <c r="E134" s="65">
        <v>16.8126</v>
      </c>
    </row>
    <row r="135" spans="1:5">
      <c r="A135" s="71">
        <v>105</v>
      </c>
      <c r="B135" s="71" t="s">
        <v>281</v>
      </c>
      <c r="C135" s="72" t="s">
        <v>924</v>
      </c>
      <c r="D135" s="73" t="s">
        <v>998</v>
      </c>
      <c r="E135" s="65">
        <v>3.0994</v>
      </c>
    </row>
    <row r="136" spans="1:5">
      <c r="A136" s="71">
        <v>106</v>
      </c>
      <c r="B136" s="71" t="s">
        <v>281</v>
      </c>
      <c r="C136" s="72" t="s">
        <v>999</v>
      </c>
      <c r="D136" s="73" t="s">
        <v>1000</v>
      </c>
      <c r="E136" s="65">
        <v>0.4</v>
      </c>
    </row>
    <row r="137" spans="1:5">
      <c r="A137" s="71">
        <v>107</v>
      </c>
      <c r="B137" s="71" t="s">
        <v>281</v>
      </c>
      <c r="C137" s="72" t="s">
        <v>991</v>
      </c>
      <c r="D137" s="73" t="s">
        <v>1001</v>
      </c>
      <c r="E137" s="65">
        <v>18</v>
      </c>
    </row>
    <row r="138" spans="1:5">
      <c r="A138" s="71">
        <v>108</v>
      </c>
      <c r="B138" s="71" t="s">
        <v>281</v>
      </c>
      <c r="C138" s="72" t="s">
        <v>1002</v>
      </c>
      <c r="D138" s="73" t="s">
        <v>1003</v>
      </c>
      <c r="E138" s="75">
        <v>50</v>
      </c>
    </row>
    <row r="139" spans="1:5">
      <c r="A139" s="71">
        <v>109</v>
      </c>
      <c r="B139" s="71" t="s">
        <v>281</v>
      </c>
      <c r="C139" s="72" t="s">
        <v>1002</v>
      </c>
      <c r="D139" s="73" t="s">
        <v>1004</v>
      </c>
      <c r="E139" s="75">
        <v>98</v>
      </c>
    </row>
    <row r="140" spans="1:5">
      <c r="A140" s="71">
        <v>110</v>
      </c>
      <c r="B140" s="71" t="s">
        <v>281</v>
      </c>
      <c r="C140" s="72" t="s">
        <v>936</v>
      </c>
      <c r="D140" s="73" t="s">
        <v>1005</v>
      </c>
      <c r="E140" s="75">
        <v>4</v>
      </c>
    </row>
    <row r="141" spans="1:5">
      <c r="A141" s="71">
        <v>111</v>
      </c>
      <c r="B141" s="71" t="s">
        <v>281</v>
      </c>
      <c r="C141" s="72" t="s">
        <v>1006</v>
      </c>
      <c r="D141" s="73" t="s">
        <v>1007</v>
      </c>
      <c r="E141" s="75">
        <v>172.938</v>
      </c>
    </row>
    <row r="142" spans="1:5">
      <c r="A142" s="71">
        <v>112</v>
      </c>
      <c r="B142" s="71" t="s">
        <v>281</v>
      </c>
      <c r="C142" s="72" t="s">
        <v>987</v>
      </c>
      <c r="D142" s="73" t="s">
        <v>1008</v>
      </c>
      <c r="E142" s="75">
        <v>11.05</v>
      </c>
    </row>
    <row r="143" spans="1:5">
      <c r="A143" s="71">
        <v>113</v>
      </c>
      <c r="B143" s="71" t="s">
        <v>281</v>
      </c>
      <c r="C143" s="72" t="s">
        <v>961</v>
      </c>
      <c r="D143" s="73" t="s">
        <v>1009</v>
      </c>
      <c r="E143" s="75">
        <v>6.565832</v>
      </c>
    </row>
    <row r="144" spans="1:5">
      <c r="A144" s="71">
        <v>114</v>
      </c>
      <c r="B144" s="71" t="s">
        <v>875</v>
      </c>
      <c r="C144" s="71" t="s">
        <v>928</v>
      </c>
      <c r="D144" s="73" t="s">
        <v>889</v>
      </c>
      <c r="E144" s="75">
        <v>5.020178</v>
      </c>
    </row>
    <row r="145" spans="1:5">
      <c r="A145" s="71">
        <v>115</v>
      </c>
      <c r="B145" s="71" t="s">
        <v>875</v>
      </c>
      <c r="C145" s="71" t="s">
        <v>921</v>
      </c>
      <c r="D145" s="73" t="s">
        <v>1010</v>
      </c>
      <c r="E145" s="75">
        <v>0.063</v>
      </c>
    </row>
    <row r="146" spans="1:5">
      <c r="A146" s="71"/>
      <c r="B146" s="71" t="s">
        <v>875</v>
      </c>
      <c r="C146" s="71"/>
      <c r="D146" s="73" t="s">
        <v>1011</v>
      </c>
      <c r="E146" s="75">
        <v>21.612</v>
      </c>
    </row>
    <row r="147" spans="1:5">
      <c r="A147" s="71"/>
      <c r="B147" s="71" t="s">
        <v>875</v>
      </c>
      <c r="C147" s="71"/>
      <c r="D147" s="73" t="s">
        <v>1012</v>
      </c>
      <c r="E147" s="75">
        <v>4.749</v>
      </c>
    </row>
    <row r="148" spans="1:5">
      <c r="A148" s="71"/>
      <c r="B148" s="71" t="s">
        <v>875</v>
      </c>
      <c r="C148" s="71"/>
      <c r="D148" s="73" t="s">
        <v>1013</v>
      </c>
      <c r="E148" s="75">
        <v>3.537</v>
      </c>
    </row>
    <row r="149" spans="1:5">
      <c r="A149" s="71"/>
      <c r="B149" s="71" t="s">
        <v>875</v>
      </c>
      <c r="C149" s="71"/>
      <c r="D149" s="73" t="s">
        <v>1014</v>
      </c>
      <c r="E149" s="75">
        <v>11.27</v>
      </c>
    </row>
    <row r="150" spans="1:5">
      <c r="A150" s="71"/>
      <c r="B150" s="71" t="s">
        <v>875</v>
      </c>
      <c r="C150" s="71"/>
      <c r="D150" s="73" t="s">
        <v>1015</v>
      </c>
      <c r="E150" s="75">
        <v>37.47</v>
      </c>
    </row>
    <row r="151" spans="1:5">
      <c r="A151" s="71"/>
      <c r="B151" s="71" t="s">
        <v>875</v>
      </c>
      <c r="C151" s="71"/>
      <c r="D151" s="73" t="s">
        <v>1016</v>
      </c>
      <c r="E151" s="75">
        <v>0.0055</v>
      </c>
    </row>
    <row r="152" spans="1:5">
      <c r="A152" s="71"/>
      <c r="B152" s="71" t="s">
        <v>875</v>
      </c>
      <c r="C152" s="71"/>
      <c r="D152" s="73" t="s">
        <v>1017</v>
      </c>
      <c r="E152" s="75">
        <v>2.527</v>
      </c>
    </row>
    <row r="153" spans="1:5">
      <c r="A153" s="71">
        <v>116</v>
      </c>
      <c r="B153" s="71" t="s">
        <v>875</v>
      </c>
      <c r="C153" s="71" t="s">
        <v>1018</v>
      </c>
      <c r="D153" s="73" t="s">
        <v>1019</v>
      </c>
      <c r="E153" s="75">
        <v>31.935519</v>
      </c>
    </row>
    <row r="154" spans="1:5">
      <c r="A154" s="71">
        <v>117</v>
      </c>
      <c r="B154" s="71" t="s">
        <v>875</v>
      </c>
      <c r="C154" s="71" t="s">
        <v>1018</v>
      </c>
      <c r="D154" s="73" t="s">
        <v>1020</v>
      </c>
      <c r="E154" s="75">
        <v>5.6403</v>
      </c>
    </row>
    <row r="155" spans="1:5">
      <c r="A155" s="71"/>
      <c r="B155" s="71" t="s">
        <v>875</v>
      </c>
      <c r="C155" s="71"/>
      <c r="D155" s="73" t="s">
        <v>1021</v>
      </c>
      <c r="E155" s="75">
        <v>1.2383</v>
      </c>
    </row>
    <row r="156" spans="1:5">
      <c r="A156" s="71"/>
      <c r="B156" s="71" t="s">
        <v>875</v>
      </c>
      <c r="C156" s="71"/>
      <c r="D156" s="73" t="s">
        <v>1022</v>
      </c>
      <c r="E156" s="75">
        <v>22.095949</v>
      </c>
    </row>
    <row r="157" spans="1:5">
      <c r="A157" s="71"/>
      <c r="B157" s="71" t="s">
        <v>875</v>
      </c>
      <c r="C157" s="71"/>
      <c r="D157" s="73" t="s">
        <v>1023</v>
      </c>
      <c r="E157" s="75">
        <v>3.15987</v>
      </c>
    </row>
    <row r="158" spans="1:5">
      <c r="A158" s="71"/>
      <c r="B158" s="71" t="s">
        <v>875</v>
      </c>
      <c r="C158" s="71"/>
      <c r="D158" s="73" t="s">
        <v>1024</v>
      </c>
      <c r="E158" s="75">
        <v>8.556</v>
      </c>
    </row>
    <row r="159" spans="1:5">
      <c r="A159" s="71"/>
      <c r="B159" s="71" t="s">
        <v>875</v>
      </c>
      <c r="C159" s="71"/>
      <c r="D159" s="73" t="s">
        <v>1025</v>
      </c>
      <c r="E159" s="75">
        <v>58.4587</v>
      </c>
    </row>
    <row r="160" spans="1:5">
      <c r="A160" s="71"/>
      <c r="B160" s="71" t="s">
        <v>875</v>
      </c>
      <c r="C160" s="71"/>
      <c r="D160" s="73" t="s">
        <v>1026</v>
      </c>
      <c r="E160" s="75">
        <v>1.819479</v>
      </c>
    </row>
    <row r="161" spans="1:5">
      <c r="A161" s="71"/>
      <c r="B161" s="71" t="s">
        <v>875</v>
      </c>
      <c r="C161" s="71"/>
      <c r="D161" s="73" t="s">
        <v>1027</v>
      </c>
      <c r="E161" s="75">
        <v>2.042043</v>
      </c>
    </row>
    <row r="162" spans="1:5">
      <c r="A162" s="71"/>
      <c r="B162" s="71" t="s">
        <v>875</v>
      </c>
      <c r="C162" s="71"/>
      <c r="D162" s="73" t="s">
        <v>885</v>
      </c>
      <c r="E162" s="75">
        <v>1.3005</v>
      </c>
    </row>
    <row r="163" spans="1:5">
      <c r="A163" s="71">
        <v>118</v>
      </c>
      <c r="B163" s="71" t="s">
        <v>875</v>
      </c>
      <c r="C163" s="71" t="s">
        <v>1028</v>
      </c>
      <c r="D163" s="73" t="s">
        <v>1029</v>
      </c>
      <c r="E163" s="75">
        <v>19.6624</v>
      </c>
    </row>
    <row r="164" spans="1:5">
      <c r="A164" s="71"/>
      <c r="B164" s="71" t="s">
        <v>875</v>
      </c>
      <c r="C164" s="71"/>
      <c r="D164" s="73" t="s">
        <v>1030</v>
      </c>
      <c r="E164" s="75">
        <v>20.30512</v>
      </c>
    </row>
    <row r="165" spans="1:5">
      <c r="A165" s="71"/>
      <c r="B165" s="71" t="s">
        <v>875</v>
      </c>
      <c r="C165" s="71"/>
      <c r="D165" s="73" t="s">
        <v>1031</v>
      </c>
      <c r="E165" s="75">
        <v>9.289474</v>
      </c>
    </row>
    <row r="166" spans="1:5">
      <c r="A166" s="71"/>
      <c r="B166" s="71" t="s">
        <v>875</v>
      </c>
      <c r="C166" s="71"/>
      <c r="D166" s="73" t="s">
        <v>1032</v>
      </c>
      <c r="E166" s="75">
        <v>37.348967</v>
      </c>
    </row>
    <row r="167" spans="1:5">
      <c r="A167" s="71"/>
      <c r="B167" s="71" t="s">
        <v>875</v>
      </c>
      <c r="C167" s="71"/>
      <c r="D167" s="73" t="s">
        <v>1033</v>
      </c>
      <c r="E167" s="75">
        <v>5.97334</v>
      </c>
    </row>
    <row r="168" spans="1:5">
      <c r="A168" s="71"/>
      <c r="B168" s="71" t="s">
        <v>875</v>
      </c>
      <c r="C168" s="71"/>
      <c r="D168" s="73" t="s">
        <v>1034</v>
      </c>
      <c r="E168" s="75">
        <v>6.732526</v>
      </c>
    </row>
    <row r="169" spans="1:5">
      <c r="A169" s="71"/>
      <c r="B169" s="71" t="s">
        <v>875</v>
      </c>
      <c r="C169" s="71"/>
      <c r="D169" s="73" t="s">
        <v>1035</v>
      </c>
      <c r="E169" s="75">
        <v>0.117058</v>
      </c>
    </row>
    <row r="170" spans="1:5">
      <c r="A170" s="71"/>
      <c r="B170" s="71" t="s">
        <v>875</v>
      </c>
      <c r="C170" s="71"/>
      <c r="D170" s="73" t="s">
        <v>690</v>
      </c>
      <c r="E170" s="75">
        <v>5.9534</v>
      </c>
    </row>
    <row r="171" spans="1:5">
      <c r="A171" s="71">
        <v>119</v>
      </c>
      <c r="B171" s="71" t="s">
        <v>875</v>
      </c>
      <c r="C171" s="71" t="s">
        <v>1036</v>
      </c>
      <c r="D171" s="73" t="s">
        <v>1029</v>
      </c>
      <c r="E171" s="75">
        <v>31.19164</v>
      </c>
    </row>
    <row r="172" spans="1:5">
      <c r="A172" s="71"/>
      <c r="B172" s="71" t="s">
        <v>875</v>
      </c>
      <c r="C172" s="71"/>
      <c r="D172" s="73" t="s">
        <v>1031</v>
      </c>
      <c r="E172" s="75">
        <v>181.11724</v>
      </c>
    </row>
    <row r="173" spans="1:5">
      <c r="A173" s="71"/>
      <c r="B173" s="71" t="s">
        <v>875</v>
      </c>
      <c r="C173" s="71"/>
      <c r="D173" s="73" t="s">
        <v>690</v>
      </c>
      <c r="E173" s="75">
        <v>4.2587</v>
      </c>
    </row>
    <row r="174" spans="1:5">
      <c r="A174" s="71"/>
      <c r="B174" s="71" t="s">
        <v>875</v>
      </c>
      <c r="C174" s="71"/>
      <c r="D174" s="73" t="s">
        <v>1037</v>
      </c>
      <c r="E174" s="75">
        <v>5.137267</v>
      </c>
    </row>
    <row r="175" spans="1:5">
      <c r="A175" s="71"/>
      <c r="B175" s="71" t="s">
        <v>875</v>
      </c>
      <c r="C175" s="71"/>
      <c r="D175" s="73" t="s">
        <v>1038</v>
      </c>
      <c r="E175" s="75">
        <v>5.019542</v>
      </c>
    </row>
    <row r="176" spans="1:5">
      <c r="A176" s="71"/>
      <c r="B176" s="71" t="s">
        <v>875</v>
      </c>
      <c r="C176" s="71"/>
      <c r="D176" s="73" t="s">
        <v>889</v>
      </c>
      <c r="E176" s="75">
        <v>2.568604</v>
      </c>
    </row>
    <row r="177" spans="1:5">
      <c r="A177" s="71">
        <v>120</v>
      </c>
      <c r="B177" s="71" t="s">
        <v>875</v>
      </c>
      <c r="C177" s="72" t="s">
        <v>956</v>
      </c>
      <c r="D177" s="73" t="s">
        <v>1039</v>
      </c>
      <c r="E177" s="75">
        <v>4.775003</v>
      </c>
    </row>
    <row r="178" spans="1:5">
      <c r="A178" s="71">
        <v>121</v>
      </c>
      <c r="B178" s="71" t="s">
        <v>875</v>
      </c>
      <c r="C178" s="72" t="s">
        <v>1040</v>
      </c>
      <c r="D178" s="73" t="s">
        <v>918</v>
      </c>
      <c r="E178" s="75">
        <v>24.77872</v>
      </c>
    </row>
    <row r="179" spans="1:5">
      <c r="A179" s="71">
        <v>122</v>
      </c>
      <c r="B179" s="71" t="s">
        <v>875</v>
      </c>
      <c r="C179" s="72" t="s">
        <v>953</v>
      </c>
      <c r="D179" s="73" t="s">
        <v>1041</v>
      </c>
      <c r="E179" s="75">
        <v>5.637</v>
      </c>
    </row>
    <row r="180" spans="1:5">
      <c r="A180" s="71">
        <v>123</v>
      </c>
      <c r="B180" s="71" t="s">
        <v>875</v>
      </c>
      <c r="C180" s="72" t="s">
        <v>1006</v>
      </c>
      <c r="D180" s="73" t="s">
        <v>1042</v>
      </c>
      <c r="E180" s="75">
        <v>0.254445</v>
      </c>
    </row>
    <row r="181" spans="1:5">
      <c r="A181" s="71">
        <v>124</v>
      </c>
      <c r="B181" s="71" t="s">
        <v>875</v>
      </c>
      <c r="C181" s="72" t="s">
        <v>961</v>
      </c>
      <c r="D181" s="73" t="s">
        <v>1042</v>
      </c>
      <c r="E181" s="75">
        <v>4.791073</v>
      </c>
    </row>
    <row r="182" spans="1:5">
      <c r="A182" s="71">
        <v>125</v>
      </c>
      <c r="B182" s="71" t="s">
        <v>875</v>
      </c>
      <c r="C182" s="72" t="s">
        <v>1043</v>
      </c>
      <c r="D182" s="73" t="s">
        <v>1044</v>
      </c>
      <c r="E182" s="75">
        <v>6.415949</v>
      </c>
    </row>
    <row r="183" spans="1:5">
      <c r="A183" s="71">
        <v>126</v>
      </c>
      <c r="B183" s="71" t="s">
        <v>875</v>
      </c>
      <c r="C183" s="72" t="s">
        <v>963</v>
      </c>
      <c r="D183" s="73" t="s">
        <v>1044</v>
      </c>
      <c r="E183" s="75">
        <v>5.428471</v>
      </c>
    </row>
    <row r="184" spans="1:5">
      <c r="A184" s="71">
        <v>127</v>
      </c>
      <c r="B184" s="71" t="s">
        <v>875</v>
      </c>
      <c r="C184" s="72" t="s">
        <v>921</v>
      </c>
      <c r="D184" s="73" t="s">
        <v>1044</v>
      </c>
      <c r="E184" s="75">
        <v>9.343451</v>
      </c>
    </row>
    <row r="185" spans="1:5">
      <c r="A185" s="71">
        <v>128</v>
      </c>
      <c r="B185" s="71" t="s">
        <v>875</v>
      </c>
      <c r="C185" s="71" t="s">
        <v>903</v>
      </c>
      <c r="D185" s="73" t="s">
        <v>1022</v>
      </c>
      <c r="E185" s="75">
        <v>0.7196</v>
      </c>
    </row>
    <row r="186" spans="1:5">
      <c r="A186" s="71"/>
      <c r="B186" s="71" t="s">
        <v>875</v>
      </c>
      <c r="C186" s="71"/>
      <c r="D186" s="73" t="s">
        <v>1025</v>
      </c>
      <c r="E186" s="75">
        <v>0.47775</v>
      </c>
    </row>
    <row r="187" spans="1:5">
      <c r="A187" s="71"/>
      <c r="B187" s="71" t="s">
        <v>875</v>
      </c>
      <c r="C187" s="71"/>
      <c r="D187" s="73" t="s">
        <v>1045</v>
      </c>
      <c r="E187" s="75">
        <v>0.39165</v>
      </c>
    </row>
    <row r="188" spans="1:5">
      <c r="A188" s="71"/>
      <c r="B188" s="71" t="s">
        <v>875</v>
      </c>
      <c r="C188" s="71"/>
      <c r="D188" s="73" t="s">
        <v>1046</v>
      </c>
      <c r="E188" s="75">
        <v>0.1539</v>
      </c>
    </row>
    <row r="189" spans="1:5">
      <c r="A189" s="71"/>
      <c r="B189" s="71" t="s">
        <v>875</v>
      </c>
      <c r="C189" s="71"/>
      <c r="D189" s="73" t="s">
        <v>1047</v>
      </c>
      <c r="E189" s="75">
        <v>0.197184</v>
      </c>
    </row>
    <row r="190" spans="1:5">
      <c r="A190" s="71"/>
      <c r="B190" s="71" t="s">
        <v>875</v>
      </c>
      <c r="C190" s="71"/>
      <c r="D190" s="73" t="s">
        <v>1048</v>
      </c>
      <c r="E190" s="75">
        <v>0.141193</v>
      </c>
    </row>
    <row r="191" spans="1:5">
      <c r="A191" s="71"/>
      <c r="B191" s="71" t="s">
        <v>875</v>
      </c>
      <c r="C191" s="71"/>
      <c r="D191" s="73" t="s">
        <v>1049</v>
      </c>
      <c r="E191" s="75">
        <v>1.160833</v>
      </c>
    </row>
    <row r="192" spans="1:5">
      <c r="A192" s="71">
        <v>129</v>
      </c>
      <c r="B192" s="71" t="s">
        <v>875</v>
      </c>
      <c r="C192" s="71" t="s">
        <v>1050</v>
      </c>
      <c r="D192" s="73" t="s">
        <v>1051</v>
      </c>
      <c r="E192" s="75">
        <v>2.04</v>
      </c>
    </row>
    <row r="193" spans="1:5">
      <c r="A193" s="71"/>
      <c r="B193" s="71" t="s">
        <v>875</v>
      </c>
      <c r="C193" s="71"/>
      <c r="D193" s="73" t="s">
        <v>1052</v>
      </c>
      <c r="E193" s="75">
        <v>0.197136</v>
      </c>
    </row>
    <row r="194" spans="1:5">
      <c r="A194" s="71"/>
      <c r="B194" s="71" t="s">
        <v>875</v>
      </c>
      <c r="C194" s="71"/>
      <c r="D194" s="73" t="s">
        <v>1053</v>
      </c>
      <c r="E194" s="75">
        <v>0.1539</v>
      </c>
    </row>
    <row r="195" spans="1:5">
      <c r="A195" s="71"/>
      <c r="B195" s="71" t="s">
        <v>875</v>
      </c>
      <c r="C195" s="71"/>
      <c r="D195" s="73" t="s">
        <v>1054</v>
      </c>
      <c r="E195" s="75">
        <v>0.13996</v>
      </c>
    </row>
    <row r="196" spans="1:5">
      <c r="A196" s="71"/>
      <c r="B196" s="71" t="s">
        <v>875</v>
      </c>
      <c r="C196" s="71"/>
      <c r="D196" s="73" t="s">
        <v>1055</v>
      </c>
      <c r="E196" s="75">
        <v>1.165</v>
      </c>
    </row>
    <row r="197" spans="1:5">
      <c r="A197" s="71"/>
      <c r="B197" s="71" t="s">
        <v>875</v>
      </c>
      <c r="C197" s="71"/>
      <c r="D197" s="73" t="s">
        <v>1021</v>
      </c>
      <c r="E197" s="75">
        <v>0.04</v>
      </c>
    </row>
    <row r="198" spans="1:5">
      <c r="A198" s="71"/>
      <c r="B198" s="71" t="s">
        <v>875</v>
      </c>
      <c r="C198" s="71"/>
      <c r="D198" s="73" t="s">
        <v>1056</v>
      </c>
      <c r="E198" s="75">
        <v>0.005</v>
      </c>
    </row>
    <row r="199" spans="1:5">
      <c r="A199" s="71">
        <v>130</v>
      </c>
      <c r="B199" s="71" t="s">
        <v>875</v>
      </c>
      <c r="C199" s="71" t="s">
        <v>928</v>
      </c>
      <c r="D199" s="73" t="s">
        <v>1029</v>
      </c>
      <c r="E199" s="75">
        <v>0.0753</v>
      </c>
    </row>
    <row r="200" spans="1:5">
      <c r="A200" s="71"/>
      <c r="B200" s="71" t="s">
        <v>875</v>
      </c>
      <c r="C200" s="71"/>
      <c r="D200" s="73" t="s">
        <v>1030</v>
      </c>
      <c r="E200" s="75">
        <v>0.0885</v>
      </c>
    </row>
    <row r="201" spans="1:5">
      <c r="A201" s="71"/>
      <c r="B201" s="71" t="s">
        <v>875</v>
      </c>
      <c r="C201" s="71"/>
      <c r="D201" s="73" t="s">
        <v>1057</v>
      </c>
      <c r="E201" s="75">
        <v>0.026862</v>
      </c>
    </row>
    <row r="202" spans="1:5">
      <c r="A202" s="71"/>
      <c r="B202" s="71" t="s">
        <v>875</v>
      </c>
      <c r="C202" s="71"/>
      <c r="D202" s="73" t="s">
        <v>889</v>
      </c>
      <c r="E202" s="75">
        <v>2.565584</v>
      </c>
    </row>
    <row r="203" spans="1:5">
      <c r="A203" s="71"/>
      <c r="B203" s="71" t="s">
        <v>875</v>
      </c>
      <c r="C203" s="71"/>
      <c r="D203" s="73" t="s">
        <v>1058</v>
      </c>
      <c r="E203" s="75">
        <v>0.62487</v>
      </c>
    </row>
    <row r="204" spans="1:5">
      <c r="A204" s="71"/>
      <c r="B204" s="71" t="s">
        <v>875</v>
      </c>
      <c r="C204" s="71"/>
      <c r="D204" s="73" t="s">
        <v>910</v>
      </c>
      <c r="E204" s="75">
        <v>6.80922</v>
      </c>
    </row>
    <row r="205" spans="1:5">
      <c r="A205" s="71"/>
      <c r="B205" s="71" t="s">
        <v>875</v>
      </c>
      <c r="C205" s="71"/>
      <c r="D205" s="73" t="s">
        <v>1029</v>
      </c>
      <c r="E205" s="75">
        <v>0.02695</v>
      </c>
    </row>
    <row r="206" spans="1:5">
      <c r="A206" s="71"/>
      <c r="B206" s="71" t="s">
        <v>875</v>
      </c>
      <c r="C206" s="71"/>
      <c r="D206" s="73" t="s">
        <v>1030</v>
      </c>
      <c r="E206" s="75">
        <v>0.01435</v>
      </c>
    </row>
    <row r="207" spans="1:5">
      <c r="A207" s="71"/>
      <c r="B207" s="71" t="s">
        <v>875</v>
      </c>
      <c r="C207" s="71"/>
      <c r="D207" s="73" t="s">
        <v>1057</v>
      </c>
      <c r="E207" s="75">
        <v>0.074184</v>
      </c>
    </row>
    <row r="208" spans="1:5">
      <c r="A208" s="71"/>
      <c r="B208" s="71" t="s">
        <v>875</v>
      </c>
      <c r="C208" s="71"/>
      <c r="D208" s="73" t="s">
        <v>1029</v>
      </c>
      <c r="E208" s="75">
        <v>0.777</v>
      </c>
    </row>
    <row r="209" spans="1:5">
      <c r="A209" s="71"/>
      <c r="B209" s="71" t="s">
        <v>875</v>
      </c>
      <c r="C209" s="71"/>
      <c r="D209" s="73" t="s">
        <v>1030</v>
      </c>
      <c r="E209" s="75">
        <v>0.56875</v>
      </c>
    </row>
    <row r="210" spans="1:5">
      <c r="A210" s="71"/>
      <c r="B210" s="71" t="s">
        <v>875</v>
      </c>
      <c r="C210" s="71"/>
      <c r="D210" s="73" t="s">
        <v>1031</v>
      </c>
      <c r="E210" s="75">
        <v>0.39165</v>
      </c>
    </row>
    <row r="211" spans="1:5">
      <c r="A211" s="71"/>
      <c r="B211" s="71" t="s">
        <v>875</v>
      </c>
      <c r="C211" s="71"/>
      <c r="D211" s="73" t="s">
        <v>1059</v>
      </c>
      <c r="E211" s="75">
        <v>0.274268</v>
      </c>
    </row>
    <row r="212" spans="1:5">
      <c r="A212" s="71"/>
      <c r="B212" s="71" t="s">
        <v>875</v>
      </c>
      <c r="C212" s="71"/>
      <c r="D212" s="73" t="s">
        <v>1060</v>
      </c>
      <c r="E212" s="75">
        <v>0.135031</v>
      </c>
    </row>
    <row r="213" spans="1:5">
      <c r="A213" s="71"/>
      <c r="B213" s="71" t="s">
        <v>875</v>
      </c>
      <c r="C213" s="71"/>
      <c r="D213" s="73" t="s">
        <v>1057</v>
      </c>
      <c r="E213" s="75">
        <v>0.006429</v>
      </c>
    </row>
    <row r="214" spans="1:5">
      <c r="A214" s="71"/>
      <c r="B214" s="71" t="s">
        <v>875</v>
      </c>
      <c r="C214" s="71"/>
      <c r="D214" s="73" t="s">
        <v>690</v>
      </c>
      <c r="E214" s="75">
        <v>0.1872</v>
      </c>
    </row>
    <row r="215" spans="1:5">
      <c r="A215" s="71"/>
      <c r="B215" s="71" t="s">
        <v>875</v>
      </c>
      <c r="C215" s="71"/>
      <c r="D215" s="73" t="s">
        <v>1030</v>
      </c>
      <c r="E215" s="75">
        <v>3.944</v>
      </c>
    </row>
    <row r="216" spans="1:5">
      <c r="A216" s="71"/>
      <c r="B216" s="71" t="s">
        <v>875</v>
      </c>
      <c r="C216" s="71"/>
      <c r="D216" s="73" t="s">
        <v>1057</v>
      </c>
      <c r="E216" s="75">
        <v>0.053529</v>
      </c>
    </row>
    <row r="217" spans="1:5">
      <c r="A217" s="71"/>
      <c r="B217" s="71" t="s">
        <v>875</v>
      </c>
      <c r="C217" s="71"/>
      <c r="D217" s="73" t="s">
        <v>1057</v>
      </c>
      <c r="E217" s="75">
        <v>0.049398</v>
      </c>
    </row>
    <row r="218" spans="1:5">
      <c r="A218" s="71"/>
      <c r="B218" s="71" t="s">
        <v>875</v>
      </c>
      <c r="C218" s="71"/>
      <c r="D218" s="73" t="s">
        <v>1057</v>
      </c>
      <c r="E218" s="75">
        <v>0.029859</v>
      </c>
    </row>
    <row r="219" spans="1:5">
      <c r="A219" s="71"/>
      <c r="B219" s="71" t="s">
        <v>875</v>
      </c>
      <c r="C219" s="71"/>
      <c r="D219" s="73" t="s">
        <v>1058</v>
      </c>
      <c r="E219" s="75">
        <v>0.49827</v>
      </c>
    </row>
    <row r="220" spans="1:5">
      <c r="A220" s="71"/>
      <c r="B220" s="71" t="s">
        <v>875</v>
      </c>
      <c r="C220" s="71"/>
      <c r="D220" s="73" t="s">
        <v>910</v>
      </c>
      <c r="E220" s="75">
        <v>4.8165</v>
      </c>
    </row>
    <row r="221" spans="1:5">
      <c r="A221" s="71"/>
      <c r="B221" s="71" t="s">
        <v>875</v>
      </c>
      <c r="C221" s="71"/>
      <c r="D221" s="73" t="s">
        <v>1029</v>
      </c>
      <c r="E221" s="75">
        <v>0.1485</v>
      </c>
    </row>
    <row r="222" spans="1:5">
      <c r="A222" s="71"/>
      <c r="B222" s="71" t="s">
        <v>875</v>
      </c>
      <c r="C222" s="71"/>
      <c r="D222" s="73" t="s">
        <v>1030</v>
      </c>
      <c r="E222" s="75">
        <v>0.0974</v>
      </c>
    </row>
    <row r="223" spans="1:5">
      <c r="A223" s="71"/>
      <c r="B223" s="71" t="s">
        <v>875</v>
      </c>
      <c r="C223" s="71"/>
      <c r="D223" s="73" t="s">
        <v>1031</v>
      </c>
      <c r="E223" s="75">
        <v>0.05</v>
      </c>
    </row>
    <row r="224" spans="1:5">
      <c r="A224" s="71"/>
      <c r="B224" s="71" t="s">
        <v>875</v>
      </c>
      <c r="C224" s="71"/>
      <c r="D224" s="73" t="s">
        <v>1057</v>
      </c>
      <c r="E224" s="75">
        <v>0.137895</v>
      </c>
    </row>
    <row r="225" spans="1:5">
      <c r="A225" s="71"/>
      <c r="B225" s="71" t="s">
        <v>875</v>
      </c>
      <c r="C225" s="71"/>
      <c r="D225" s="73" t="s">
        <v>1058</v>
      </c>
      <c r="E225" s="75">
        <v>0.55707</v>
      </c>
    </row>
    <row r="226" spans="1:5">
      <c r="A226" s="71"/>
      <c r="B226" s="71" t="s">
        <v>875</v>
      </c>
      <c r="C226" s="71"/>
      <c r="D226" s="73" t="s">
        <v>910</v>
      </c>
      <c r="E226" s="75">
        <v>5.20296</v>
      </c>
    </row>
    <row r="227" spans="1:5">
      <c r="A227" s="71"/>
      <c r="B227" s="71" t="s">
        <v>875</v>
      </c>
      <c r="C227" s="71"/>
      <c r="D227" s="73" t="s">
        <v>1058</v>
      </c>
      <c r="E227" s="75">
        <v>0.012</v>
      </c>
    </row>
    <row r="228" spans="1:5">
      <c r="A228" s="71"/>
      <c r="B228" s="71" t="s">
        <v>875</v>
      </c>
      <c r="C228" s="71"/>
      <c r="D228" s="73" t="s">
        <v>889</v>
      </c>
      <c r="E228" s="75">
        <v>3.636511</v>
      </c>
    </row>
    <row r="229" spans="1:5">
      <c r="A229" s="71"/>
      <c r="B229" s="71" t="s">
        <v>875</v>
      </c>
      <c r="C229" s="71"/>
      <c r="D229" s="73" t="s">
        <v>1057</v>
      </c>
      <c r="E229" s="75">
        <v>0.033915</v>
      </c>
    </row>
    <row r="230" spans="1:5">
      <c r="A230" s="71"/>
      <c r="B230" s="71" t="s">
        <v>875</v>
      </c>
      <c r="C230" s="71"/>
      <c r="D230" s="73" t="s">
        <v>1057</v>
      </c>
      <c r="E230" s="75">
        <v>0.029865</v>
      </c>
    </row>
    <row r="231" spans="1:5">
      <c r="A231" s="71"/>
      <c r="B231" s="71" t="s">
        <v>875</v>
      </c>
      <c r="C231" s="71"/>
      <c r="D231" s="73" t="s">
        <v>889</v>
      </c>
      <c r="E231" s="75">
        <v>5.097203</v>
      </c>
    </row>
    <row r="232" spans="1:5">
      <c r="A232" s="71"/>
      <c r="B232" s="71" t="s">
        <v>875</v>
      </c>
      <c r="C232" s="71"/>
      <c r="D232" s="73" t="s">
        <v>1058</v>
      </c>
      <c r="E232" s="75">
        <v>0.56109</v>
      </c>
    </row>
    <row r="233" spans="1:5">
      <c r="A233" s="71"/>
      <c r="B233" s="71" t="s">
        <v>875</v>
      </c>
      <c r="C233" s="71"/>
      <c r="D233" s="73" t="s">
        <v>910</v>
      </c>
      <c r="E233" s="75">
        <v>5.2098</v>
      </c>
    </row>
    <row r="234" spans="1:5">
      <c r="A234" s="71"/>
      <c r="B234" s="71" t="s">
        <v>875</v>
      </c>
      <c r="C234" s="71"/>
      <c r="D234" s="73" t="s">
        <v>889</v>
      </c>
      <c r="E234" s="75">
        <v>3.642299</v>
      </c>
    </row>
    <row r="235" spans="1:5">
      <c r="A235" s="71"/>
      <c r="B235" s="71" t="s">
        <v>875</v>
      </c>
      <c r="C235" s="71"/>
      <c r="D235" s="73" t="s">
        <v>1057</v>
      </c>
      <c r="E235" s="75">
        <v>0.024894</v>
      </c>
    </row>
    <row r="236" spans="1:5">
      <c r="A236" s="71"/>
      <c r="B236" s="71" t="s">
        <v>875</v>
      </c>
      <c r="C236" s="71"/>
      <c r="D236" s="73" t="s">
        <v>1057</v>
      </c>
      <c r="E236" s="75">
        <v>0.037923</v>
      </c>
    </row>
    <row r="237" spans="1:5">
      <c r="A237" s="71"/>
      <c r="B237" s="71" t="s">
        <v>875</v>
      </c>
      <c r="C237" s="71"/>
      <c r="D237" s="73" t="s">
        <v>1057</v>
      </c>
      <c r="E237" s="75">
        <v>0.048603</v>
      </c>
    </row>
    <row r="238" spans="1:5">
      <c r="A238" s="71"/>
      <c r="B238" s="71" t="s">
        <v>875</v>
      </c>
      <c r="C238" s="71"/>
      <c r="D238" s="73" t="s">
        <v>1058</v>
      </c>
      <c r="E238" s="75">
        <v>0.004</v>
      </c>
    </row>
    <row r="239" spans="1:5">
      <c r="A239" s="71"/>
      <c r="B239" s="71" t="s">
        <v>875</v>
      </c>
      <c r="C239" s="71"/>
      <c r="D239" s="73" t="s">
        <v>1057</v>
      </c>
      <c r="E239" s="75">
        <v>0.063201</v>
      </c>
    </row>
    <row r="240" ht="29" customHeight="1" spans="1:5">
      <c r="A240" s="71">
        <v>131</v>
      </c>
      <c r="B240" s="71" t="s">
        <v>875</v>
      </c>
      <c r="C240" s="72" t="s">
        <v>953</v>
      </c>
      <c r="D240" s="73" t="s">
        <v>918</v>
      </c>
      <c r="E240" s="75">
        <v>25.01484</v>
      </c>
    </row>
    <row r="241" spans="1:5">
      <c r="A241" s="71">
        <v>132</v>
      </c>
      <c r="B241" s="71" t="s">
        <v>875</v>
      </c>
      <c r="C241" s="71" t="s">
        <v>970</v>
      </c>
      <c r="D241" s="73" t="s">
        <v>1058</v>
      </c>
      <c r="E241" s="75">
        <v>4.69224</v>
      </c>
    </row>
    <row r="242" spans="1:5">
      <c r="A242" s="71"/>
      <c r="B242" s="71" t="s">
        <v>875</v>
      </c>
      <c r="C242" s="71"/>
      <c r="D242" s="73" t="s">
        <v>1031</v>
      </c>
      <c r="E242" s="75">
        <v>0.84</v>
      </c>
    </row>
    <row r="243" spans="1:5">
      <c r="A243" s="71">
        <v>133</v>
      </c>
      <c r="B243" s="71" t="s">
        <v>875</v>
      </c>
      <c r="C243" s="71" t="s">
        <v>970</v>
      </c>
      <c r="D243" s="73" t="s">
        <v>1029</v>
      </c>
      <c r="E243" s="75">
        <v>5.9381</v>
      </c>
    </row>
    <row r="244" spans="1:5">
      <c r="A244" s="71"/>
      <c r="B244" s="71" t="s">
        <v>875</v>
      </c>
      <c r="C244" s="71"/>
      <c r="D244" s="73" t="s">
        <v>1030</v>
      </c>
      <c r="E244" s="75">
        <v>4.172</v>
      </c>
    </row>
    <row r="245" spans="1:5">
      <c r="A245" s="71"/>
      <c r="B245" s="71" t="s">
        <v>875</v>
      </c>
      <c r="C245" s="71"/>
      <c r="D245" s="73" t="s">
        <v>1061</v>
      </c>
      <c r="E245" s="75">
        <v>3.1332</v>
      </c>
    </row>
    <row r="246" spans="1:5">
      <c r="A246" s="71"/>
      <c r="B246" s="71" t="s">
        <v>875</v>
      </c>
      <c r="C246" s="71"/>
      <c r="D246" s="73" t="s">
        <v>1059</v>
      </c>
      <c r="E246" s="75">
        <v>1.5774</v>
      </c>
    </row>
    <row r="247" spans="1:5">
      <c r="A247" s="71"/>
      <c r="B247" s="71" t="s">
        <v>875</v>
      </c>
      <c r="C247" s="71"/>
      <c r="D247" s="73" t="s">
        <v>1062</v>
      </c>
      <c r="E247" s="75">
        <v>1.087748</v>
      </c>
    </row>
    <row r="248" spans="1:5">
      <c r="A248" s="71"/>
      <c r="B248" s="71" t="s">
        <v>875</v>
      </c>
      <c r="C248" s="71"/>
      <c r="D248" s="73" t="s">
        <v>1035</v>
      </c>
      <c r="E248" s="75">
        <v>0.04104</v>
      </c>
    </row>
    <row r="249" spans="1:5">
      <c r="A249" s="71"/>
      <c r="B249" s="71" t="s">
        <v>875</v>
      </c>
      <c r="C249" s="71"/>
      <c r="D249" s="73" t="s">
        <v>690</v>
      </c>
      <c r="E249" s="75">
        <v>1.3968</v>
      </c>
    </row>
    <row r="250" spans="1:5">
      <c r="A250" s="71">
        <v>134</v>
      </c>
      <c r="B250" s="71" t="s">
        <v>875</v>
      </c>
      <c r="C250" s="72" t="s">
        <v>924</v>
      </c>
      <c r="D250" s="73" t="s">
        <v>1063</v>
      </c>
      <c r="E250" s="75">
        <v>3.38863</v>
      </c>
    </row>
    <row r="251" spans="1:5">
      <c r="A251" s="71">
        <v>135</v>
      </c>
      <c r="B251" s="71" t="s">
        <v>875</v>
      </c>
      <c r="C251" s="72" t="s">
        <v>1064</v>
      </c>
      <c r="D251" s="73" t="s">
        <v>1063</v>
      </c>
      <c r="E251" s="75">
        <v>6.560344</v>
      </c>
    </row>
    <row r="252" spans="1:5">
      <c r="A252" s="71">
        <v>136</v>
      </c>
      <c r="B252" s="71" t="s">
        <v>875</v>
      </c>
      <c r="C252" s="71" t="s">
        <v>936</v>
      </c>
      <c r="D252" s="73" t="s">
        <v>1022</v>
      </c>
      <c r="E252" s="75">
        <v>0.777</v>
      </c>
    </row>
    <row r="253" spans="1:5">
      <c r="A253" s="71"/>
      <c r="B253" s="71" t="s">
        <v>875</v>
      </c>
      <c r="C253" s="71"/>
      <c r="D253" s="73" t="s">
        <v>1025</v>
      </c>
      <c r="E253" s="75">
        <v>0.47775</v>
      </c>
    </row>
    <row r="254" spans="1:5">
      <c r="A254" s="71"/>
      <c r="B254" s="71" t="s">
        <v>875</v>
      </c>
      <c r="C254" s="71"/>
      <c r="D254" s="73" t="s">
        <v>1045</v>
      </c>
      <c r="E254" s="75">
        <v>0.39165</v>
      </c>
    </row>
    <row r="255" spans="1:5">
      <c r="A255" s="71"/>
      <c r="B255" s="71" t="s">
        <v>875</v>
      </c>
      <c r="C255" s="71"/>
      <c r="D255" s="73" t="s">
        <v>1047</v>
      </c>
      <c r="E255" s="75">
        <v>0.239985</v>
      </c>
    </row>
    <row r="256" spans="1:5">
      <c r="A256" s="71"/>
      <c r="B256" s="71" t="s">
        <v>875</v>
      </c>
      <c r="C256" s="71"/>
      <c r="D256" s="73" t="s">
        <v>1065</v>
      </c>
      <c r="E256" s="75">
        <v>0.005142</v>
      </c>
    </row>
    <row r="257" spans="1:5">
      <c r="A257" s="71"/>
      <c r="B257" s="71" t="s">
        <v>875</v>
      </c>
      <c r="C257" s="71"/>
      <c r="D257" s="73" t="s">
        <v>1066</v>
      </c>
      <c r="E257" s="75">
        <v>0.130131</v>
      </c>
    </row>
    <row r="258" spans="1:5">
      <c r="A258" s="71"/>
      <c r="B258" s="71" t="s">
        <v>875</v>
      </c>
      <c r="C258" s="71"/>
      <c r="D258" s="73" t="s">
        <v>1067</v>
      </c>
      <c r="E258" s="75">
        <v>0.1599</v>
      </c>
    </row>
    <row r="259" spans="1:5">
      <c r="A259" s="71"/>
      <c r="B259" s="71" t="s">
        <v>875</v>
      </c>
      <c r="C259" s="71"/>
      <c r="D259" s="73" t="s">
        <v>1068</v>
      </c>
      <c r="E259" s="75">
        <v>1.160833</v>
      </c>
    </row>
    <row r="260" spans="1:5">
      <c r="A260" s="71"/>
      <c r="B260" s="71" t="s">
        <v>875</v>
      </c>
      <c r="C260" s="71"/>
      <c r="D260" s="73" t="s">
        <v>1069</v>
      </c>
      <c r="E260" s="75">
        <v>0.004</v>
      </c>
    </row>
    <row r="261" spans="1:5">
      <c r="A261" s="71"/>
      <c r="B261" s="71" t="s">
        <v>875</v>
      </c>
      <c r="C261" s="71"/>
      <c r="D261" s="73" t="s">
        <v>1070</v>
      </c>
      <c r="E261" s="75">
        <v>0.0075</v>
      </c>
    </row>
    <row r="262" spans="1:5">
      <c r="A262" s="71">
        <v>137</v>
      </c>
      <c r="B262" s="71" t="s">
        <v>875</v>
      </c>
      <c r="C262" s="71" t="s">
        <v>1071</v>
      </c>
      <c r="D262" s="73" t="s">
        <v>1029</v>
      </c>
      <c r="E262" s="75">
        <v>3.8032</v>
      </c>
    </row>
    <row r="263" spans="1:5">
      <c r="A263" s="71"/>
      <c r="B263" s="71" t="s">
        <v>875</v>
      </c>
      <c r="C263" s="71"/>
      <c r="D263" s="73" t="s">
        <v>1030</v>
      </c>
      <c r="E263" s="75">
        <v>2.457</v>
      </c>
    </row>
    <row r="264" spans="1:5">
      <c r="A264" s="71"/>
      <c r="B264" s="71" t="s">
        <v>875</v>
      </c>
      <c r="C264" s="71"/>
      <c r="D264" s="73" t="s">
        <v>1072</v>
      </c>
      <c r="E264" s="75">
        <v>2.025</v>
      </c>
    </row>
    <row r="265" spans="1:5">
      <c r="A265" s="71"/>
      <c r="B265" s="71" t="s">
        <v>875</v>
      </c>
      <c r="C265" s="71"/>
      <c r="D265" s="73" t="s">
        <v>1073</v>
      </c>
      <c r="E265" s="75">
        <v>1.071952</v>
      </c>
    </row>
    <row r="266" spans="1:5">
      <c r="A266" s="71"/>
      <c r="B266" s="71" t="s">
        <v>875</v>
      </c>
      <c r="C266" s="71"/>
      <c r="D266" s="73" t="s">
        <v>1074</v>
      </c>
      <c r="E266" s="75">
        <v>0.744561</v>
      </c>
    </row>
    <row r="267" spans="1:5">
      <c r="A267" s="71"/>
      <c r="B267" s="71" t="s">
        <v>875</v>
      </c>
      <c r="C267" s="71"/>
      <c r="D267" s="73" t="s">
        <v>1075</v>
      </c>
      <c r="E267" s="75">
        <v>0.9548</v>
      </c>
    </row>
    <row r="268" spans="1:5">
      <c r="A268" s="76">
        <v>138</v>
      </c>
      <c r="B268" s="76" t="s">
        <v>875</v>
      </c>
      <c r="C268" s="76" t="s">
        <v>1076</v>
      </c>
      <c r="D268" s="73" t="s">
        <v>1029</v>
      </c>
      <c r="E268" s="75">
        <v>0.0543</v>
      </c>
    </row>
    <row r="269" spans="1:5">
      <c r="A269" s="77"/>
      <c r="B269" s="77"/>
      <c r="C269" s="77"/>
      <c r="D269" s="73" t="s">
        <v>1030</v>
      </c>
      <c r="E269" s="75">
        <v>0.015</v>
      </c>
    </row>
    <row r="270" spans="1:5">
      <c r="A270" s="78"/>
      <c r="B270" s="78"/>
      <c r="C270" s="78"/>
      <c r="D270" s="73" t="s">
        <v>1077</v>
      </c>
      <c r="E270" s="75">
        <v>0.0181</v>
      </c>
    </row>
    <row r="271" spans="1:5">
      <c r="A271" s="76">
        <v>138</v>
      </c>
      <c r="B271" s="76" t="s">
        <v>875</v>
      </c>
      <c r="C271" s="76" t="s">
        <v>1076</v>
      </c>
      <c r="D271" s="73" t="s">
        <v>1029</v>
      </c>
      <c r="E271" s="75">
        <v>0.03</v>
      </c>
    </row>
    <row r="272" spans="1:5">
      <c r="A272" s="77"/>
      <c r="B272" s="77"/>
      <c r="C272" s="77"/>
      <c r="D272" s="73" t="s">
        <v>1030</v>
      </c>
      <c r="E272" s="75">
        <v>0.015</v>
      </c>
    </row>
    <row r="273" spans="1:5">
      <c r="A273" s="78"/>
      <c r="B273" s="78"/>
      <c r="C273" s="78"/>
      <c r="D273" s="73" t="s">
        <v>1031</v>
      </c>
      <c r="E273" s="75">
        <v>0.021</v>
      </c>
    </row>
    <row r="274" spans="1:5">
      <c r="A274" s="71">
        <v>139</v>
      </c>
      <c r="B274" s="71" t="s">
        <v>875</v>
      </c>
      <c r="C274" s="71" t="s">
        <v>1078</v>
      </c>
      <c r="D274" s="73" t="s">
        <v>1029</v>
      </c>
      <c r="E274" s="75">
        <v>1.7184</v>
      </c>
    </row>
    <row r="275" spans="1:5">
      <c r="A275" s="71"/>
      <c r="B275" s="71" t="s">
        <v>875</v>
      </c>
      <c r="C275" s="71"/>
      <c r="D275" s="73" t="s">
        <v>1030</v>
      </c>
      <c r="E275" s="75">
        <v>2.0406</v>
      </c>
    </row>
    <row r="276" spans="1:5">
      <c r="A276" s="71"/>
      <c r="B276" s="71" t="s">
        <v>875</v>
      </c>
      <c r="C276" s="71"/>
      <c r="D276" s="73" t="s">
        <v>1073</v>
      </c>
      <c r="E276" s="75">
        <v>0.497058</v>
      </c>
    </row>
    <row r="277" spans="1:5">
      <c r="A277" s="71"/>
      <c r="B277" s="71" t="s">
        <v>875</v>
      </c>
      <c r="C277" s="71"/>
      <c r="D277" s="73" t="s">
        <v>1074</v>
      </c>
      <c r="E277" s="75">
        <v>0.272688</v>
      </c>
    </row>
    <row r="278" spans="1:5">
      <c r="A278" s="71"/>
      <c r="B278" s="71" t="s">
        <v>875</v>
      </c>
      <c r="C278" s="71"/>
      <c r="D278" s="73" t="s">
        <v>1075</v>
      </c>
      <c r="E278" s="75">
        <v>0.5835</v>
      </c>
    </row>
    <row r="279" spans="1:5">
      <c r="A279" s="71"/>
      <c r="B279" s="71" t="s">
        <v>875</v>
      </c>
      <c r="C279" s="71"/>
      <c r="D279" s="73" t="s">
        <v>1079</v>
      </c>
      <c r="E279" s="75">
        <v>0.5728</v>
      </c>
    </row>
    <row r="280" spans="1:5">
      <c r="A280" s="71"/>
      <c r="B280" s="71" t="s">
        <v>875</v>
      </c>
      <c r="C280" s="71"/>
      <c r="D280" s="73" t="s">
        <v>1080</v>
      </c>
      <c r="E280" s="75">
        <v>0.36</v>
      </c>
    </row>
    <row r="281" spans="1:5">
      <c r="A281" s="71">
        <v>140</v>
      </c>
      <c r="B281" s="71" t="s">
        <v>875</v>
      </c>
      <c r="C281" s="71" t="s">
        <v>966</v>
      </c>
      <c r="D281" s="73" t="s">
        <v>1081</v>
      </c>
      <c r="E281" s="75">
        <v>5.396508</v>
      </c>
    </row>
    <row r="282" spans="1:5">
      <c r="A282" s="71">
        <v>141</v>
      </c>
      <c r="B282" s="71" t="s">
        <v>875</v>
      </c>
      <c r="C282" s="71" t="s">
        <v>928</v>
      </c>
      <c r="D282" s="73" t="s">
        <v>1029</v>
      </c>
      <c r="E282" s="75">
        <v>0.7609</v>
      </c>
    </row>
    <row r="283" spans="1:5">
      <c r="A283" s="71"/>
      <c r="B283" s="71" t="s">
        <v>875</v>
      </c>
      <c r="C283" s="71"/>
      <c r="D283" s="73" t="s">
        <v>1031</v>
      </c>
      <c r="E283" s="75">
        <v>0.39705</v>
      </c>
    </row>
    <row r="284" spans="1:5">
      <c r="A284" s="71"/>
      <c r="B284" s="71" t="s">
        <v>875</v>
      </c>
      <c r="C284" s="71"/>
      <c r="D284" s="73" t="s">
        <v>1030</v>
      </c>
      <c r="E284" s="75">
        <v>0.48265</v>
      </c>
    </row>
    <row r="285" spans="1:5">
      <c r="A285" s="71"/>
      <c r="B285" s="71" t="s">
        <v>875</v>
      </c>
      <c r="C285" s="71"/>
      <c r="D285" s="73" t="s">
        <v>690</v>
      </c>
      <c r="E285" s="75">
        <v>0.1581</v>
      </c>
    </row>
    <row r="286" spans="1:5">
      <c r="A286" s="71"/>
      <c r="B286" s="71" t="s">
        <v>875</v>
      </c>
      <c r="C286" s="71"/>
      <c r="D286" s="73" t="s">
        <v>1073</v>
      </c>
      <c r="E286" s="75">
        <v>0.203289</v>
      </c>
    </row>
    <row r="287" spans="1:5">
      <c r="A287" s="71"/>
      <c r="B287" s="71" t="s">
        <v>875</v>
      </c>
      <c r="C287" s="71"/>
      <c r="D287" s="73" t="s">
        <v>1074</v>
      </c>
      <c r="E287" s="75">
        <v>0.130131</v>
      </c>
    </row>
    <row r="288" spans="1:5">
      <c r="A288" s="71"/>
      <c r="B288" s="71" t="s">
        <v>875</v>
      </c>
      <c r="C288" s="71"/>
      <c r="D288" s="73" t="s">
        <v>1029</v>
      </c>
      <c r="E288" s="75">
        <v>0.5368</v>
      </c>
    </row>
    <row r="289" spans="1:5">
      <c r="A289" s="71"/>
      <c r="B289" s="71" t="s">
        <v>875</v>
      </c>
      <c r="C289" s="71"/>
      <c r="D289" s="73" t="s">
        <v>1031</v>
      </c>
      <c r="E289" s="75">
        <v>0.2316</v>
      </c>
    </row>
    <row r="290" spans="1:5">
      <c r="A290" s="71"/>
      <c r="B290" s="71" t="s">
        <v>875</v>
      </c>
      <c r="C290" s="71"/>
      <c r="D290" s="73" t="s">
        <v>1030</v>
      </c>
      <c r="E290" s="75">
        <v>0.35474</v>
      </c>
    </row>
    <row r="291" spans="1:5">
      <c r="A291" s="71"/>
      <c r="B291" s="71" t="s">
        <v>875</v>
      </c>
      <c r="C291" s="71"/>
      <c r="D291" s="73" t="s">
        <v>690</v>
      </c>
      <c r="E291" s="75">
        <v>0.16</v>
      </c>
    </row>
    <row r="292" spans="1:5">
      <c r="A292" s="71"/>
      <c r="B292" s="71" t="s">
        <v>875</v>
      </c>
      <c r="C292" s="71"/>
      <c r="D292" s="73" t="s">
        <v>1073</v>
      </c>
      <c r="E292" s="75">
        <v>0.15172</v>
      </c>
    </row>
    <row r="293" spans="1:5">
      <c r="A293" s="71"/>
      <c r="B293" s="71" t="s">
        <v>875</v>
      </c>
      <c r="C293" s="71"/>
      <c r="D293" s="73" t="s">
        <v>1074</v>
      </c>
      <c r="E293" s="75">
        <v>0.086754</v>
      </c>
    </row>
    <row r="294" spans="1:5">
      <c r="A294" s="71"/>
      <c r="B294" s="71" t="s">
        <v>875</v>
      </c>
      <c r="C294" s="71"/>
      <c r="D294" s="73" t="s">
        <v>1082</v>
      </c>
      <c r="E294" s="75">
        <v>0.007112</v>
      </c>
    </row>
    <row r="295" spans="1:5">
      <c r="A295" s="71"/>
      <c r="B295" s="71" t="s">
        <v>875</v>
      </c>
      <c r="C295" s="71"/>
      <c r="D295" s="73" t="s">
        <v>889</v>
      </c>
      <c r="E295" s="75">
        <v>6.020636</v>
      </c>
    </row>
    <row r="296" spans="1:5">
      <c r="A296" s="71"/>
      <c r="B296" s="71" t="s">
        <v>875</v>
      </c>
      <c r="C296" s="71"/>
      <c r="D296" s="73" t="s">
        <v>1030</v>
      </c>
      <c r="E296" s="75">
        <v>0.072</v>
      </c>
    </row>
    <row r="297" spans="1:5">
      <c r="A297" s="71"/>
      <c r="B297" s="71" t="s">
        <v>875</v>
      </c>
      <c r="C297" s="71"/>
      <c r="D297" s="73" t="s">
        <v>1029</v>
      </c>
      <c r="E297" s="75">
        <v>0.3616</v>
      </c>
    </row>
    <row r="298" spans="1:5">
      <c r="A298" s="71"/>
      <c r="B298" s="71" t="s">
        <v>875</v>
      </c>
      <c r="C298" s="71"/>
      <c r="D298" s="73" t="s">
        <v>1030</v>
      </c>
      <c r="E298" s="75">
        <v>0.1006</v>
      </c>
    </row>
    <row r="299" spans="1:5">
      <c r="A299" s="71"/>
      <c r="B299" s="71" t="s">
        <v>875</v>
      </c>
      <c r="C299" s="71"/>
      <c r="D299" s="73" t="s">
        <v>1031</v>
      </c>
      <c r="E299" s="75">
        <v>0.0318</v>
      </c>
    </row>
    <row r="300" spans="1:5">
      <c r="A300" s="71"/>
      <c r="B300" s="71" t="s">
        <v>875</v>
      </c>
      <c r="C300" s="71"/>
      <c r="D300" s="73" t="s">
        <v>1083</v>
      </c>
      <c r="E300" s="75">
        <v>0.40828</v>
      </c>
    </row>
    <row r="301" spans="1:5">
      <c r="A301" s="71"/>
      <c r="B301" s="71" t="s">
        <v>875</v>
      </c>
      <c r="C301" s="71"/>
      <c r="D301" s="73" t="s">
        <v>1029</v>
      </c>
      <c r="E301" s="75">
        <v>0.5598</v>
      </c>
    </row>
    <row r="302" spans="1:5">
      <c r="A302" s="71"/>
      <c r="B302" s="71" t="s">
        <v>875</v>
      </c>
      <c r="C302" s="71"/>
      <c r="D302" s="73" t="s">
        <v>1031</v>
      </c>
      <c r="E302" s="75">
        <v>0.2716</v>
      </c>
    </row>
    <row r="303" spans="1:5">
      <c r="A303" s="71"/>
      <c r="B303" s="71" t="s">
        <v>875</v>
      </c>
      <c r="C303" s="71"/>
      <c r="D303" s="73" t="s">
        <v>1030</v>
      </c>
      <c r="E303" s="75">
        <v>0.3778</v>
      </c>
    </row>
    <row r="304" spans="1:5">
      <c r="A304" s="71"/>
      <c r="B304" s="71" t="s">
        <v>875</v>
      </c>
      <c r="C304" s="71"/>
      <c r="D304" s="73" t="s">
        <v>690</v>
      </c>
      <c r="E304" s="75">
        <v>0.1484</v>
      </c>
    </row>
    <row r="305" spans="1:5">
      <c r="A305" s="71"/>
      <c r="B305" s="71" t="s">
        <v>875</v>
      </c>
      <c r="C305" s="71"/>
      <c r="D305" s="73" t="s">
        <v>1073</v>
      </c>
      <c r="E305" s="75">
        <v>0.162432</v>
      </c>
    </row>
    <row r="306" spans="1:5">
      <c r="A306" s="71"/>
      <c r="B306" s="71" t="s">
        <v>875</v>
      </c>
      <c r="C306" s="71"/>
      <c r="D306" s="73" t="s">
        <v>1074</v>
      </c>
      <c r="E306" s="75">
        <v>0.086754</v>
      </c>
    </row>
    <row r="307" spans="1:5">
      <c r="A307" s="71"/>
      <c r="B307" s="71" t="s">
        <v>875</v>
      </c>
      <c r="C307" s="71"/>
      <c r="D307" s="73" t="s">
        <v>1082</v>
      </c>
      <c r="E307" s="75">
        <v>0.005076</v>
      </c>
    </row>
    <row r="308" spans="1:5">
      <c r="A308" s="71"/>
      <c r="B308" s="71" t="s">
        <v>875</v>
      </c>
      <c r="C308" s="71"/>
      <c r="D308" s="73" t="s">
        <v>1030</v>
      </c>
      <c r="E308" s="75">
        <v>0.04</v>
      </c>
    </row>
    <row r="309" spans="1:5">
      <c r="A309" s="71"/>
      <c r="B309" s="71" t="s">
        <v>875</v>
      </c>
      <c r="C309" s="71"/>
      <c r="D309" s="73" t="s">
        <v>1029</v>
      </c>
      <c r="E309" s="75">
        <v>2.9684</v>
      </c>
    </row>
    <row r="310" spans="1:5">
      <c r="A310" s="71"/>
      <c r="B310" s="71" t="s">
        <v>875</v>
      </c>
      <c r="C310" s="71"/>
      <c r="D310" s="73" t="s">
        <v>1030</v>
      </c>
      <c r="E310" s="75">
        <v>1.7548</v>
      </c>
    </row>
    <row r="311" spans="1:5">
      <c r="A311" s="71"/>
      <c r="B311" s="71" t="s">
        <v>875</v>
      </c>
      <c r="C311" s="71"/>
      <c r="D311" s="73" t="s">
        <v>1031</v>
      </c>
      <c r="E311" s="75">
        <v>1.3728</v>
      </c>
    </row>
    <row r="312" spans="1:5">
      <c r="A312" s="71"/>
      <c r="B312" s="71" t="s">
        <v>875</v>
      </c>
      <c r="C312" s="71"/>
      <c r="D312" s="73" t="s">
        <v>1073</v>
      </c>
      <c r="E312" s="75">
        <v>0.789588</v>
      </c>
    </row>
    <row r="313" spans="1:5">
      <c r="A313" s="71"/>
      <c r="B313" s="71" t="s">
        <v>875</v>
      </c>
      <c r="C313" s="71"/>
      <c r="D313" s="73" t="s">
        <v>1074</v>
      </c>
      <c r="E313" s="75">
        <v>0.550128</v>
      </c>
    </row>
    <row r="314" spans="1:5">
      <c r="A314" s="71"/>
      <c r="B314" s="71" t="s">
        <v>875</v>
      </c>
      <c r="C314" s="71"/>
      <c r="D314" s="73" t="s">
        <v>1082</v>
      </c>
      <c r="E314" s="75">
        <v>0.014304</v>
      </c>
    </row>
    <row r="315" spans="1:5">
      <c r="A315" s="71"/>
      <c r="B315" s="71" t="s">
        <v>875</v>
      </c>
      <c r="C315" s="71"/>
      <c r="D315" s="73" t="s">
        <v>690</v>
      </c>
      <c r="E315" s="75">
        <v>0.5631</v>
      </c>
    </row>
    <row r="316" spans="1:5">
      <c r="A316" s="71"/>
      <c r="B316" s="71" t="s">
        <v>875</v>
      </c>
      <c r="C316" s="71"/>
      <c r="D316" s="73" t="s">
        <v>1029</v>
      </c>
      <c r="E316" s="75">
        <v>0.7855</v>
      </c>
    </row>
    <row r="317" spans="1:5">
      <c r="A317" s="71"/>
      <c r="B317" s="71" t="s">
        <v>875</v>
      </c>
      <c r="C317" s="71"/>
      <c r="D317" s="73" t="s">
        <v>1030</v>
      </c>
      <c r="E317" s="75">
        <v>0.48505</v>
      </c>
    </row>
    <row r="318" spans="1:5">
      <c r="A318" s="71"/>
      <c r="B318" s="71" t="s">
        <v>875</v>
      </c>
      <c r="C318" s="71"/>
      <c r="D318" s="73" t="s">
        <v>1031</v>
      </c>
      <c r="E318" s="75">
        <v>0.39165</v>
      </c>
    </row>
    <row r="319" spans="1:5">
      <c r="A319" s="71"/>
      <c r="B319" s="71" t="s">
        <v>875</v>
      </c>
      <c r="C319" s="71"/>
      <c r="D319" s="73" t="s">
        <v>1073</v>
      </c>
      <c r="E319" s="75">
        <v>0.27108</v>
      </c>
    </row>
    <row r="320" spans="1:5">
      <c r="A320" s="71"/>
      <c r="B320" s="71" t="s">
        <v>875</v>
      </c>
      <c r="C320" s="71"/>
      <c r="D320" s="73" t="s">
        <v>1074</v>
      </c>
      <c r="E320" s="75">
        <v>0.176841</v>
      </c>
    </row>
    <row r="321" spans="1:5">
      <c r="A321" s="71"/>
      <c r="B321" s="71" t="s">
        <v>875</v>
      </c>
      <c r="C321" s="71"/>
      <c r="D321" s="73" t="s">
        <v>1082</v>
      </c>
      <c r="E321" s="75">
        <v>0.006354</v>
      </c>
    </row>
    <row r="322" spans="1:5">
      <c r="A322" s="71"/>
      <c r="B322" s="71" t="s">
        <v>875</v>
      </c>
      <c r="C322" s="71"/>
      <c r="D322" s="73" t="s">
        <v>690</v>
      </c>
      <c r="E322" s="75">
        <v>0.1854</v>
      </c>
    </row>
    <row r="323" spans="1:5">
      <c r="A323" s="71"/>
      <c r="B323" s="71" t="s">
        <v>875</v>
      </c>
      <c r="C323" s="71"/>
      <c r="D323" s="73" t="s">
        <v>1084</v>
      </c>
      <c r="E323" s="75">
        <v>0.448</v>
      </c>
    </row>
    <row r="324" spans="1:5">
      <c r="A324" s="71"/>
      <c r="B324" s="71" t="s">
        <v>875</v>
      </c>
      <c r="C324" s="71"/>
      <c r="D324" s="73" t="s">
        <v>1029</v>
      </c>
      <c r="E324" s="75">
        <v>0.8211</v>
      </c>
    </row>
    <row r="325" spans="1:5">
      <c r="A325" s="71"/>
      <c r="B325" s="71" t="s">
        <v>875</v>
      </c>
      <c r="C325" s="71"/>
      <c r="D325" s="73" t="s">
        <v>1030</v>
      </c>
      <c r="E325" s="75">
        <v>0.55265</v>
      </c>
    </row>
    <row r="326" spans="1:5">
      <c r="A326" s="71"/>
      <c r="B326" s="71" t="s">
        <v>875</v>
      </c>
      <c r="C326" s="71"/>
      <c r="D326" s="73" t="s">
        <v>1031</v>
      </c>
      <c r="E326" s="75">
        <v>0.39165</v>
      </c>
    </row>
    <row r="327" spans="1:5">
      <c r="A327" s="71"/>
      <c r="B327" s="71" t="s">
        <v>875</v>
      </c>
      <c r="C327" s="71"/>
      <c r="D327" s="73" t="s">
        <v>1073</v>
      </c>
      <c r="E327" s="75">
        <v>0.283004</v>
      </c>
    </row>
    <row r="328" spans="1:5">
      <c r="A328" s="71"/>
      <c r="B328" s="71" t="s">
        <v>875</v>
      </c>
      <c r="C328" s="71"/>
      <c r="D328" s="73" t="s">
        <v>1074</v>
      </c>
      <c r="E328" s="75">
        <v>0.131798</v>
      </c>
    </row>
    <row r="329" spans="1:5">
      <c r="A329" s="71"/>
      <c r="B329" s="71" t="s">
        <v>875</v>
      </c>
      <c r="C329" s="71"/>
      <c r="D329" s="73" t="s">
        <v>1082</v>
      </c>
      <c r="E329" s="75">
        <v>0.004422</v>
      </c>
    </row>
    <row r="330" spans="1:5">
      <c r="A330" s="71"/>
      <c r="B330" s="71" t="s">
        <v>875</v>
      </c>
      <c r="C330" s="71"/>
      <c r="D330" s="73" t="s">
        <v>690</v>
      </c>
      <c r="E330" s="75">
        <v>0.192</v>
      </c>
    </row>
    <row r="331" spans="1:5">
      <c r="A331" s="71"/>
      <c r="B331" s="71" t="s">
        <v>875</v>
      </c>
      <c r="C331" s="71"/>
      <c r="D331" s="73" t="s">
        <v>1029</v>
      </c>
      <c r="E331" s="75">
        <v>5.72215</v>
      </c>
    </row>
    <row r="332" spans="1:5">
      <c r="A332" s="71"/>
      <c r="B332" s="71" t="s">
        <v>875</v>
      </c>
      <c r="C332" s="71"/>
      <c r="D332" s="73" t="s">
        <v>1030</v>
      </c>
      <c r="E332" s="75">
        <v>3.2382</v>
      </c>
    </row>
    <row r="333" spans="1:5">
      <c r="A333" s="71"/>
      <c r="B333" s="71" t="s">
        <v>875</v>
      </c>
      <c r="C333" s="71"/>
      <c r="D333" s="73" t="s">
        <v>1031</v>
      </c>
      <c r="E333" s="75">
        <v>2.81925</v>
      </c>
    </row>
    <row r="334" spans="1:5">
      <c r="A334" s="71"/>
      <c r="B334" s="71" t="s">
        <v>875</v>
      </c>
      <c r="C334" s="71"/>
      <c r="D334" s="73" t="s">
        <v>1073</v>
      </c>
      <c r="E334" s="75">
        <v>1.999968</v>
      </c>
    </row>
    <row r="335" spans="1:5">
      <c r="A335" s="71"/>
      <c r="B335" s="71" t="s">
        <v>875</v>
      </c>
      <c r="C335" s="71"/>
      <c r="D335" s="73" t="s">
        <v>1074</v>
      </c>
      <c r="E335" s="75">
        <v>1.249272</v>
      </c>
    </row>
    <row r="336" spans="1:5">
      <c r="A336" s="71"/>
      <c r="B336" s="71" t="s">
        <v>875</v>
      </c>
      <c r="C336" s="71"/>
      <c r="D336" s="73" t="s">
        <v>1082</v>
      </c>
      <c r="E336" s="75">
        <v>0.062496</v>
      </c>
    </row>
    <row r="337" spans="1:5">
      <c r="A337" s="71"/>
      <c r="B337" s="71" t="s">
        <v>875</v>
      </c>
      <c r="C337" s="71"/>
      <c r="D337" s="73" t="s">
        <v>690</v>
      </c>
      <c r="E337" s="75">
        <v>1.3617</v>
      </c>
    </row>
    <row r="338" spans="1:5">
      <c r="A338" s="71"/>
      <c r="B338" s="71" t="s">
        <v>875</v>
      </c>
      <c r="C338" s="71"/>
      <c r="D338" s="73" t="s">
        <v>889</v>
      </c>
      <c r="E338" s="75">
        <v>0.999988</v>
      </c>
    </row>
    <row r="339" spans="1:5">
      <c r="A339" s="71"/>
      <c r="B339" s="71" t="s">
        <v>875</v>
      </c>
      <c r="C339" s="71"/>
      <c r="D339" s="73" t="s">
        <v>1058</v>
      </c>
      <c r="E339" s="75">
        <v>6.7586</v>
      </c>
    </row>
    <row r="340" spans="1:5">
      <c r="A340" s="71"/>
      <c r="B340" s="71" t="s">
        <v>875</v>
      </c>
      <c r="C340" s="71"/>
      <c r="D340" s="73" t="s">
        <v>1083</v>
      </c>
      <c r="E340" s="75">
        <v>9.48916</v>
      </c>
    </row>
    <row r="341" spans="1:5">
      <c r="A341" s="71">
        <v>142</v>
      </c>
      <c r="B341" s="71" t="s">
        <v>875</v>
      </c>
      <c r="C341" s="71" t="s">
        <v>1085</v>
      </c>
      <c r="D341" s="73" t="s">
        <v>1086</v>
      </c>
      <c r="E341" s="75">
        <v>3.7915</v>
      </c>
    </row>
    <row r="342" spans="1:5">
      <c r="A342" s="79"/>
      <c r="B342" s="71" t="s">
        <v>875</v>
      </c>
      <c r="C342" s="71"/>
      <c r="D342" s="73" t="s">
        <v>1087</v>
      </c>
      <c r="E342" s="75">
        <v>6.657</v>
      </c>
    </row>
    <row r="343" spans="1:5">
      <c r="A343" s="79"/>
      <c r="B343" s="71" t="s">
        <v>875</v>
      </c>
      <c r="C343" s="71"/>
      <c r="D343" s="73" t="s">
        <v>1088</v>
      </c>
      <c r="E343" s="75">
        <v>0.096</v>
      </c>
    </row>
    <row r="344" spans="1:5">
      <c r="A344" s="79"/>
      <c r="B344" s="71" t="s">
        <v>875</v>
      </c>
      <c r="C344" s="71"/>
      <c r="D344" s="73" t="s">
        <v>1089</v>
      </c>
      <c r="E344" s="75">
        <v>0.14</v>
      </c>
    </row>
    <row r="345" spans="1:5">
      <c r="A345" s="79"/>
      <c r="B345" s="71" t="s">
        <v>875</v>
      </c>
      <c r="C345" s="71"/>
      <c r="D345" s="73" t="s">
        <v>1090</v>
      </c>
      <c r="E345" s="75">
        <v>0.222</v>
      </c>
    </row>
    <row r="346" spans="1:5">
      <c r="A346" s="79"/>
      <c r="B346" s="71" t="s">
        <v>875</v>
      </c>
      <c r="C346" s="71"/>
      <c r="D346" s="73" t="s">
        <v>1091</v>
      </c>
      <c r="E346" s="75">
        <v>0.31425</v>
      </c>
    </row>
    <row r="347" spans="1:5">
      <c r="A347" s="79"/>
      <c r="B347" s="71" t="s">
        <v>875</v>
      </c>
      <c r="C347" s="71"/>
      <c r="D347" s="73" t="s">
        <v>1092</v>
      </c>
      <c r="E347" s="75">
        <v>0.5688</v>
      </c>
    </row>
    <row r="348" spans="1:5">
      <c r="A348" s="79"/>
      <c r="B348" s="71" t="s">
        <v>875</v>
      </c>
      <c r="C348" s="71"/>
      <c r="D348" s="73" t="s">
        <v>1093</v>
      </c>
      <c r="E348" s="75">
        <v>0.520524</v>
      </c>
    </row>
    <row r="349" spans="1:5">
      <c r="A349" s="79"/>
      <c r="B349" s="71" t="s">
        <v>875</v>
      </c>
      <c r="C349" s="71"/>
      <c r="D349" s="73" t="s">
        <v>1094</v>
      </c>
      <c r="E349" s="75">
        <v>0.0048</v>
      </c>
    </row>
    <row r="350" spans="1:5">
      <c r="A350" s="79"/>
      <c r="B350" s="71" t="s">
        <v>875</v>
      </c>
      <c r="C350" s="71"/>
      <c r="D350" s="73" t="s">
        <v>1095</v>
      </c>
      <c r="E350" s="75">
        <v>0.006667</v>
      </c>
    </row>
    <row r="351" spans="1:5">
      <c r="A351" s="79"/>
      <c r="B351" s="71" t="s">
        <v>875</v>
      </c>
      <c r="C351" s="71"/>
      <c r="D351" s="73" t="s">
        <v>1096</v>
      </c>
      <c r="E351" s="75">
        <v>0.794796</v>
      </c>
    </row>
    <row r="352" spans="1:5">
      <c r="A352" s="79"/>
      <c r="B352" s="71" t="s">
        <v>875</v>
      </c>
      <c r="C352" s="71"/>
      <c r="D352" s="73" t="s">
        <v>1097</v>
      </c>
      <c r="E352" s="75">
        <v>0.092379</v>
      </c>
    </row>
    <row r="353" spans="1:5">
      <c r="A353" s="79"/>
      <c r="B353" s="71" t="s">
        <v>875</v>
      </c>
      <c r="C353" s="71"/>
      <c r="D353" s="73" t="s">
        <v>1098</v>
      </c>
      <c r="E353" s="75">
        <v>3.98</v>
      </c>
    </row>
    <row r="354" spans="1:5">
      <c r="A354" s="79"/>
      <c r="B354" s="71" t="s">
        <v>875</v>
      </c>
      <c r="C354" s="71"/>
      <c r="D354" s="73" t="s">
        <v>1099</v>
      </c>
      <c r="E354" s="75">
        <v>1.46615</v>
      </c>
    </row>
    <row r="355" spans="1:5">
      <c r="A355" s="79"/>
      <c r="B355" s="71" t="s">
        <v>875</v>
      </c>
      <c r="C355" s="71"/>
      <c r="D355" s="73" t="s">
        <v>1100</v>
      </c>
      <c r="E355" s="75">
        <v>0.7705</v>
      </c>
    </row>
    <row r="356" spans="1:5">
      <c r="A356" s="79"/>
      <c r="B356" s="71" t="s">
        <v>875</v>
      </c>
      <c r="C356" s="71"/>
      <c r="D356" s="73" t="s">
        <v>1088</v>
      </c>
      <c r="E356" s="75">
        <v>0.056</v>
      </c>
    </row>
    <row r="357" spans="1:5">
      <c r="A357" s="79"/>
      <c r="B357" s="71" t="s">
        <v>875</v>
      </c>
      <c r="C357" s="71"/>
      <c r="D357" s="73" t="s">
        <v>1090</v>
      </c>
      <c r="E357" s="75">
        <v>0.1295</v>
      </c>
    </row>
    <row r="358" spans="1:5">
      <c r="A358" s="79"/>
      <c r="B358" s="71" t="s">
        <v>875</v>
      </c>
      <c r="C358" s="71"/>
      <c r="D358" s="73" t="s">
        <v>1101</v>
      </c>
      <c r="E358" s="75">
        <v>0.7833</v>
      </c>
    </row>
    <row r="359" spans="1:5">
      <c r="A359" s="79"/>
      <c r="B359" s="71" t="s">
        <v>875</v>
      </c>
      <c r="C359" s="71"/>
      <c r="D359" s="73" t="s">
        <v>1102</v>
      </c>
      <c r="E359" s="75">
        <v>0.173508</v>
      </c>
    </row>
    <row r="360" spans="1:5">
      <c r="A360" s="79"/>
      <c r="B360" s="71" t="s">
        <v>875</v>
      </c>
      <c r="C360" s="71"/>
      <c r="D360" s="73" t="s">
        <v>1103</v>
      </c>
      <c r="E360" s="75">
        <v>0.0032</v>
      </c>
    </row>
    <row r="361" spans="1:5">
      <c r="A361" s="79"/>
      <c r="B361" s="71" t="s">
        <v>875</v>
      </c>
      <c r="C361" s="71"/>
      <c r="D361" s="73" t="s">
        <v>1104</v>
      </c>
      <c r="E361" s="75">
        <v>0.003334</v>
      </c>
    </row>
    <row r="362" spans="1:5">
      <c r="A362" s="79"/>
      <c r="B362" s="71" t="s">
        <v>875</v>
      </c>
      <c r="C362" s="71"/>
      <c r="D362" s="73" t="s">
        <v>1105</v>
      </c>
      <c r="E362" s="75">
        <v>0.3105</v>
      </c>
    </row>
    <row r="363" spans="1:5">
      <c r="A363" s="79"/>
      <c r="B363" s="71" t="s">
        <v>875</v>
      </c>
      <c r="C363" s="71"/>
      <c r="D363" s="73" t="s">
        <v>1106</v>
      </c>
      <c r="E363" s="75">
        <v>0.00671</v>
      </c>
    </row>
    <row r="364" spans="1:5">
      <c r="A364" s="79"/>
      <c r="B364" s="71" t="s">
        <v>875</v>
      </c>
      <c r="C364" s="71"/>
      <c r="D364" s="73" t="s">
        <v>1107</v>
      </c>
      <c r="E364" s="75">
        <v>0.536892</v>
      </c>
    </row>
    <row r="365" spans="1:5">
      <c r="A365" s="79"/>
      <c r="B365" s="71" t="s">
        <v>875</v>
      </c>
      <c r="C365" s="71"/>
      <c r="D365" s="73" t="s">
        <v>1108</v>
      </c>
      <c r="E365" s="75">
        <v>2.3216</v>
      </c>
    </row>
    <row r="366" spans="1:5">
      <c r="A366" s="79"/>
      <c r="B366" s="71" t="s">
        <v>875</v>
      </c>
      <c r="C366" s="71"/>
      <c r="D366" s="73" t="s">
        <v>1109</v>
      </c>
      <c r="E366" s="75">
        <v>2.074905</v>
      </c>
    </row>
    <row r="367" spans="1:5">
      <c r="A367" s="71">
        <v>143</v>
      </c>
      <c r="B367" s="71" t="s">
        <v>875</v>
      </c>
      <c r="C367" s="71" t="s">
        <v>921</v>
      </c>
      <c r="D367" s="73" t="s">
        <v>1110</v>
      </c>
      <c r="E367" s="75">
        <v>0.065915</v>
      </c>
    </row>
    <row r="368" spans="1:5">
      <c r="A368" s="71"/>
      <c r="B368" s="71" t="s">
        <v>875</v>
      </c>
      <c r="C368" s="71"/>
      <c r="D368" s="73" t="s">
        <v>1110</v>
      </c>
      <c r="E368" s="75">
        <v>14.573292</v>
      </c>
    </row>
    <row r="369" spans="1:5">
      <c r="A369" s="71"/>
      <c r="B369" s="71" t="s">
        <v>875</v>
      </c>
      <c r="C369" s="71"/>
      <c r="D369" s="73" t="s">
        <v>1110</v>
      </c>
      <c r="E369" s="75">
        <v>0.064115</v>
      </c>
    </row>
    <row r="370" spans="1:5">
      <c r="A370" s="71"/>
      <c r="B370" s="71" t="s">
        <v>875</v>
      </c>
      <c r="C370" s="71"/>
      <c r="D370" s="73" t="s">
        <v>1110</v>
      </c>
      <c r="E370" s="75">
        <v>0.067253</v>
      </c>
    </row>
    <row r="371" spans="1:5">
      <c r="A371" s="71"/>
      <c r="B371" s="71" t="s">
        <v>875</v>
      </c>
      <c r="C371" s="71"/>
      <c r="D371" s="73" t="s">
        <v>1110</v>
      </c>
      <c r="E371" s="75">
        <v>0.061011</v>
      </c>
    </row>
    <row r="372" spans="1:5">
      <c r="A372" s="71"/>
      <c r="B372" s="71" t="s">
        <v>875</v>
      </c>
      <c r="C372" s="71"/>
      <c r="D372" s="73" t="s">
        <v>1110</v>
      </c>
      <c r="E372" s="75">
        <v>0.144635</v>
      </c>
    </row>
    <row r="373" spans="1:5">
      <c r="A373" s="71"/>
      <c r="B373" s="71" t="s">
        <v>875</v>
      </c>
      <c r="C373" s="71"/>
      <c r="D373" s="73" t="s">
        <v>1110</v>
      </c>
      <c r="E373" s="75">
        <v>0.060969</v>
      </c>
    </row>
    <row r="374" spans="1:5">
      <c r="A374" s="71">
        <v>144</v>
      </c>
      <c r="B374" s="71" t="s">
        <v>875</v>
      </c>
      <c r="C374" s="71" t="s">
        <v>1111</v>
      </c>
      <c r="D374" s="73" t="s">
        <v>1112</v>
      </c>
      <c r="E374" s="75">
        <v>37.54932</v>
      </c>
    </row>
    <row r="375" spans="1:5">
      <c r="A375" s="71">
        <v>145</v>
      </c>
      <c r="B375" s="71" t="s">
        <v>875</v>
      </c>
      <c r="C375" s="71" t="s">
        <v>1113</v>
      </c>
      <c r="D375" s="73" t="s">
        <v>690</v>
      </c>
      <c r="E375" s="75">
        <v>0.0318</v>
      </c>
    </row>
    <row r="376" spans="1:5">
      <c r="A376" s="71"/>
      <c r="B376" s="71" t="s">
        <v>875</v>
      </c>
      <c r="C376" s="71"/>
      <c r="D376" s="73" t="s">
        <v>1029</v>
      </c>
      <c r="E376" s="75">
        <v>0.1782</v>
      </c>
    </row>
    <row r="377" spans="1:5">
      <c r="A377" s="71"/>
      <c r="B377" s="71" t="s">
        <v>875</v>
      </c>
      <c r="C377" s="71"/>
      <c r="D377" s="73" t="s">
        <v>1030</v>
      </c>
      <c r="E377" s="75">
        <v>0.0718</v>
      </c>
    </row>
    <row r="378" spans="1:5">
      <c r="A378" s="71"/>
      <c r="B378" s="71" t="s">
        <v>875</v>
      </c>
      <c r="C378" s="71"/>
      <c r="D378" s="73" t="s">
        <v>1077</v>
      </c>
      <c r="E378" s="75">
        <v>0.0891</v>
      </c>
    </row>
    <row r="379" spans="1:5">
      <c r="A379" s="71"/>
      <c r="B379" s="71" t="s">
        <v>875</v>
      </c>
      <c r="C379" s="71"/>
      <c r="D379" s="73" t="s">
        <v>1114</v>
      </c>
      <c r="E379" s="75">
        <v>0.031998</v>
      </c>
    </row>
    <row r="380" spans="1:5">
      <c r="A380" s="71"/>
      <c r="B380" s="71" t="s">
        <v>875</v>
      </c>
      <c r="C380" s="71"/>
      <c r="D380" s="73" t="s">
        <v>1115</v>
      </c>
      <c r="E380" s="75">
        <v>0.009</v>
      </c>
    </row>
    <row r="381" spans="1:5">
      <c r="A381" s="71">
        <v>146</v>
      </c>
      <c r="B381" s="71" t="s">
        <v>875</v>
      </c>
      <c r="C381" s="72" t="s">
        <v>1116</v>
      </c>
      <c r="D381" s="73" t="s">
        <v>1117</v>
      </c>
      <c r="E381" s="75">
        <v>21.01852</v>
      </c>
    </row>
    <row r="382" spans="1:5">
      <c r="A382" s="71">
        <v>147</v>
      </c>
      <c r="B382" s="71" t="s">
        <v>875</v>
      </c>
      <c r="C382" s="72" t="s">
        <v>1118</v>
      </c>
      <c r="D382" s="73" t="s">
        <v>1119</v>
      </c>
      <c r="E382" s="75">
        <v>0.432</v>
      </c>
    </row>
    <row r="383" spans="1:5">
      <c r="A383" s="71">
        <v>148</v>
      </c>
      <c r="B383" s="71" t="s">
        <v>875</v>
      </c>
      <c r="C383" s="72" t="s">
        <v>953</v>
      </c>
      <c r="D383" s="73" t="s">
        <v>1120</v>
      </c>
      <c r="E383" s="75">
        <v>3.19203</v>
      </c>
    </row>
    <row r="384" spans="1:5">
      <c r="A384" s="71">
        <v>149</v>
      </c>
      <c r="B384" s="71" t="s">
        <v>875</v>
      </c>
      <c r="C384" s="71" t="s">
        <v>991</v>
      </c>
      <c r="D384" s="73" t="s">
        <v>1121</v>
      </c>
      <c r="E384" s="75">
        <v>0.1638</v>
      </c>
    </row>
    <row r="385" spans="1:5">
      <c r="A385" s="71"/>
      <c r="B385" s="71" t="s">
        <v>875</v>
      </c>
      <c r="C385" s="71"/>
      <c r="D385" s="73" t="s">
        <v>1021</v>
      </c>
      <c r="E385" s="75">
        <v>0.0251</v>
      </c>
    </row>
    <row r="386" spans="1:5">
      <c r="A386" s="71"/>
      <c r="B386" s="71" t="s">
        <v>875</v>
      </c>
      <c r="C386" s="71"/>
      <c r="D386" s="73" t="s">
        <v>1122</v>
      </c>
      <c r="E386" s="75">
        <v>0.253081</v>
      </c>
    </row>
    <row r="387" spans="1:5">
      <c r="A387" s="71"/>
      <c r="B387" s="71" t="s">
        <v>875</v>
      </c>
      <c r="C387" s="71"/>
      <c r="D387" s="73" t="s">
        <v>1123</v>
      </c>
      <c r="E387" s="75">
        <v>0.046758</v>
      </c>
    </row>
    <row r="388" spans="1:5">
      <c r="A388" s="71">
        <v>150</v>
      </c>
      <c r="B388" s="71" t="s">
        <v>875</v>
      </c>
      <c r="C388" s="71" t="s">
        <v>1124</v>
      </c>
      <c r="D388" s="73" t="s">
        <v>1037</v>
      </c>
      <c r="E388" s="75">
        <v>0.835772</v>
      </c>
    </row>
    <row r="389" spans="1:5">
      <c r="A389" s="71"/>
      <c r="B389" s="71" t="s">
        <v>875</v>
      </c>
      <c r="C389" s="71"/>
      <c r="D389" s="73" t="s">
        <v>1125</v>
      </c>
      <c r="E389" s="75">
        <v>0.54072</v>
      </c>
    </row>
    <row r="390" spans="1:5">
      <c r="A390" s="71"/>
      <c r="B390" s="71" t="s">
        <v>875</v>
      </c>
      <c r="C390" s="71"/>
      <c r="D390" s="73" t="s">
        <v>1022</v>
      </c>
      <c r="E390" s="75">
        <v>2.39645</v>
      </c>
    </row>
    <row r="391" spans="1:5">
      <c r="A391" s="71"/>
      <c r="B391" s="71" t="s">
        <v>875</v>
      </c>
      <c r="C391" s="71"/>
      <c r="D391" s="73" t="s">
        <v>1067</v>
      </c>
      <c r="E391" s="75">
        <v>0.5691</v>
      </c>
    </row>
    <row r="392" spans="1:5">
      <c r="A392" s="71"/>
      <c r="B392" s="71" t="s">
        <v>875</v>
      </c>
      <c r="C392" s="71"/>
      <c r="D392" s="73" t="s">
        <v>1072</v>
      </c>
      <c r="E392" s="75">
        <v>1.17495</v>
      </c>
    </row>
    <row r="393" spans="1:5">
      <c r="A393" s="71"/>
      <c r="B393" s="71" t="s">
        <v>875</v>
      </c>
      <c r="C393" s="71"/>
      <c r="D393" s="73" t="s">
        <v>1126</v>
      </c>
      <c r="E393" s="75">
        <v>1.43325</v>
      </c>
    </row>
    <row r="394" spans="1:5">
      <c r="A394" s="71"/>
      <c r="B394" s="71" t="s">
        <v>875</v>
      </c>
      <c r="C394" s="71"/>
      <c r="D394" s="73" t="s">
        <v>1127</v>
      </c>
      <c r="E394" s="75">
        <v>2.9975</v>
      </c>
    </row>
    <row r="395" spans="1:5">
      <c r="A395" s="71">
        <v>151</v>
      </c>
      <c r="B395" s="71" t="s">
        <v>875</v>
      </c>
      <c r="C395" s="71" t="s">
        <v>979</v>
      </c>
      <c r="D395" s="73" t="s">
        <v>1128</v>
      </c>
      <c r="E395" s="75">
        <v>1</v>
      </c>
    </row>
    <row r="396" spans="1:5">
      <c r="A396" s="71">
        <v>152</v>
      </c>
      <c r="B396" s="71" t="s">
        <v>875</v>
      </c>
      <c r="C396" s="71" t="s">
        <v>1129</v>
      </c>
      <c r="D396" s="73" t="s">
        <v>1029</v>
      </c>
      <c r="E396" s="75">
        <v>0.5303</v>
      </c>
    </row>
    <row r="397" spans="1:5">
      <c r="A397" s="71"/>
      <c r="B397" s="71" t="s">
        <v>875</v>
      </c>
      <c r="C397" s="71"/>
      <c r="D397" s="73" t="s">
        <v>1030</v>
      </c>
      <c r="E397" s="75">
        <v>0.5207</v>
      </c>
    </row>
    <row r="398" spans="1:5">
      <c r="A398" s="71"/>
      <c r="B398" s="71" t="s">
        <v>875</v>
      </c>
      <c r="C398" s="71"/>
      <c r="D398" s="73" t="s">
        <v>1075</v>
      </c>
      <c r="E398" s="75">
        <v>0.2367</v>
      </c>
    </row>
    <row r="399" spans="1:5">
      <c r="A399" s="71"/>
      <c r="B399" s="71" t="s">
        <v>875</v>
      </c>
      <c r="C399" s="71"/>
      <c r="D399" s="73" t="s">
        <v>1058</v>
      </c>
      <c r="E399" s="75">
        <v>5.6e-5</v>
      </c>
    </row>
    <row r="400" spans="1:5">
      <c r="A400" s="71"/>
      <c r="B400" s="71" t="s">
        <v>875</v>
      </c>
      <c r="C400" s="71"/>
      <c r="D400" s="73" t="s">
        <v>1021</v>
      </c>
      <c r="E400" s="75">
        <v>0.0033</v>
      </c>
    </row>
    <row r="401" spans="1:5">
      <c r="A401" s="71"/>
      <c r="B401" s="71" t="s">
        <v>875</v>
      </c>
      <c r="C401" s="71"/>
      <c r="D401" s="73" t="s">
        <v>1056</v>
      </c>
      <c r="E401" s="75">
        <v>0.116774</v>
      </c>
    </row>
    <row r="402" spans="1:5">
      <c r="A402" s="71">
        <v>153</v>
      </c>
      <c r="B402" s="71" t="s">
        <v>875</v>
      </c>
      <c r="C402" s="72" t="s">
        <v>1130</v>
      </c>
      <c r="D402" s="73" t="s">
        <v>1131</v>
      </c>
      <c r="E402" s="75">
        <v>6.167466</v>
      </c>
    </row>
    <row r="403" spans="1:5">
      <c r="A403" s="71">
        <v>154</v>
      </c>
      <c r="B403" s="71" t="s">
        <v>875</v>
      </c>
      <c r="C403" s="72" t="s">
        <v>1130</v>
      </c>
      <c r="D403" s="73" t="s">
        <v>1132</v>
      </c>
      <c r="E403" s="75">
        <v>5.7741</v>
      </c>
    </row>
    <row r="404" spans="1:5">
      <c r="A404" s="71">
        <v>155</v>
      </c>
      <c r="B404" s="71" t="s">
        <v>875</v>
      </c>
      <c r="C404" s="72" t="s">
        <v>963</v>
      </c>
      <c r="D404" s="73" t="s">
        <v>1133</v>
      </c>
      <c r="E404" s="75">
        <v>4.664183</v>
      </c>
    </row>
    <row r="405" spans="1:5">
      <c r="A405" s="71">
        <v>156</v>
      </c>
      <c r="B405" s="71" t="s">
        <v>875</v>
      </c>
      <c r="C405" s="71" t="s">
        <v>1134</v>
      </c>
      <c r="D405" s="73" t="s">
        <v>879</v>
      </c>
      <c r="E405" s="75">
        <v>6.101563</v>
      </c>
    </row>
    <row r="406" spans="1:5">
      <c r="A406" s="71">
        <v>157</v>
      </c>
      <c r="B406" s="71" t="s">
        <v>875</v>
      </c>
      <c r="C406" s="71" t="s">
        <v>1118</v>
      </c>
      <c r="D406" s="73" t="s">
        <v>1135</v>
      </c>
      <c r="E406" s="75">
        <v>5.04336</v>
      </c>
    </row>
    <row r="407" spans="1:5">
      <c r="A407" s="71"/>
      <c r="B407" s="71" t="s">
        <v>875</v>
      </c>
      <c r="C407" s="71"/>
      <c r="D407" s="73" t="s">
        <v>1136</v>
      </c>
      <c r="E407" s="75">
        <v>5.566801</v>
      </c>
    </row>
    <row r="408" spans="1:5">
      <c r="A408" s="71">
        <v>158</v>
      </c>
      <c r="B408" s="71" t="s">
        <v>875</v>
      </c>
      <c r="C408" s="72" t="s">
        <v>1137</v>
      </c>
      <c r="D408" s="73" t="s">
        <v>1138</v>
      </c>
      <c r="E408" s="75">
        <v>6.069066</v>
      </c>
    </row>
    <row r="409" spans="1:5">
      <c r="A409" s="71">
        <v>159</v>
      </c>
      <c r="B409" s="71" t="s">
        <v>875</v>
      </c>
      <c r="C409" s="71" t="s">
        <v>1139</v>
      </c>
      <c r="D409" s="73" t="s">
        <v>1029</v>
      </c>
      <c r="E409" s="75">
        <v>0.9268</v>
      </c>
    </row>
    <row r="410" spans="1:5">
      <c r="A410" s="71"/>
      <c r="B410" s="71" t="s">
        <v>875</v>
      </c>
      <c r="C410" s="71"/>
      <c r="D410" s="73" t="s">
        <v>1030</v>
      </c>
      <c r="E410" s="75">
        <v>1.1224</v>
      </c>
    </row>
    <row r="411" spans="1:5">
      <c r="A411" s="71"/>
      <c r="B411" s="71" t="s">
        <v>875</v>
      </c>
      <c r="C411" s="71"/>
      <c r="D411" s="73" t="s">
        <v>1077</v>
      </c>
      <c r="E411" s="75">
        <v>0.4634</v>
      </c>
    </row>
    <row r="412" spans="1:5">
      <c r="A412" s="71"/>
      <c r="B412" s="71" t="s">
        <v>875</v>
      </c>
      <c r="C412" s="71"/>
      <c r="D412" s="73" t="s">
        <v>1075</v>
      </c>
      <c r="E412" s="75">
        <v>0.2986</v>
      </c>
    </row>
    <row r="413" spans="1:5">
      <c r="A413" s="71"/>
      <c r="B413" s="71" t="s">
        <v>875</v>
      </c>
      <c r="C413" s="71"/>
      <c r="D413" s="73" t="s">
        <v>1073</v>
      </c>
      <c r="E413" s="75">
        <v>0.239968</v>
      </c>
    </row>
    <row r="414" spans="1:5">
      <c r="A414" s="71"/>
      <c r="B414" s="71" t="s">
        <v>875</v>
      </c>
      <c r="C414" s="71"/>
      <c r="D414" s="73" t="s">
        <v>1140</v>
      </c>
      <c r="E414" s="75">
        <v>0.094254</v>
      </c>
    </row>
    <row r="415" spans="1:5">
      <c r="A415" s="71"/>
      <c r="B415" s="71" t="s">
        <v>875</v>
      </c>
      <c r="C415" s="71"/>
      <c r="D415" s="73" t="s">
        <v>1030</v>
      </c>
      <c r="E415" s="75">
        <v>1.589</v>
      </c>
    </row>
    <row r="416" spans="1:5">
      <c r="A416" s="71"/>
      <c r="B416" s="71" t="s">
        <v>875</v>
      </c>
      <c r="C416" s="71"/>
      <c r="D416" s="73" t="s">
        <v>1029</v>
      </c>
      <c r="E416" s="75">
        <v>0.328</v>
      </c>
    </row>
    <row r="417" spans="1:5">
      <c r="A417" s="71"/>
      <c r="B417" s="71" t="s">
        <v>875</v>
      </c>
      <c r="C417" s="71"/>
      <c r="D417" s="73" t="s">
        <v>1030</v>
      </c>
      <c r="E417" s="75">
        <v>2.1312</v>
      </c>
    </row>
    <row r="418" spans="1:5">
      <c r="A418" s="71"/>
      <c r="B418" s="71" t="s">
        <v>875</v>
      </c>
      <c r="C418" s="71"/>
      <c r="D418" s="73" t="s">
        <v>1030</v>
      </c>
      <c r="E418" s="75">
        <v>0.096</v>
      </c>
    </row>
    <row r="419" spans="1:5">
      <c r="A419" s="71"/>
      <c r="B419" s="71" t="s">
        <v>875</v>
      </c>
      <c r="C419" s="71"/>
      <c r="D419" s="73" t="s">
        <v>1030</v>
      </c>
      <c r="E419" s="75">
        <v>0.116</v>
      </c>
    </row>
    <row r="420" spans="1:5">
      <c r="A420" s="71"/>
      <c r="B420" s="71" t="s">
        <v>875</v>
      </c>
      <c r="C420" s="71"/>
      <c r="D420" s="73" t="s">
        <v>1030</v>
      </c>
      <c r="E420" s="75">
        <v>0.6326</v>
      </c>
    </row>
    <row r="421" spans="1:5">
      <c r="A421" s="71"/>
      <c r="B421" s="71" t="s">
        <v>875</v>
      </c>
      <c r="C421" s="71"/>
      <c r="D421" s="73" t="s">
        <v>1029</v>
      </c>
      <c r="E421" s="75">
        <v>0.2304</v>
      </c>
    </row>
    <row r="422" spans="1:5">
      <c r="A422" s="71"/>
      <c r="B422" s="71" t="s">
        <v>875</v>
      </c>
      <c r="C422" s="71"/>
      <c r="D422" s="73" t="s">
        <v>1140</v>
      </c>
      <c r="E422" s="75">
        <v>0.025557</v>
      </c>
    </row>
    <row r="423" spans="1:5">
      <c r="A423" s="71"/>
      <c r="B423" s="71" t="s">
        <v>875</v>
      </c>
      <c r="C423" s="71"/>
      <c r="D423" s="73" t="s">
        <v>1140</v>
      </c>
      <c r="E423" s="75">
        <v>0.026001</v>
      </c>
    </row>
    <row r="424" spans="1:5">
      <c r="A424" s="71"/>
      <c r="B424" s="71" t="s">
        <v>875</v>
      </c>
      <c r="C424" s="71"/>
      <c r="D424" s="73" t="s">
        <v>1141</v>
      </c>
      <c r="E424" s="75">
        <v>0.825</v>
      </c>
    </row>
    <row r="425" spans="1:5">
      <c r="A425" s="71"/>
      <c r="B425" s="71" t="s">
        <v>875</v>
      </c>
      <c r="C425" s="71"/>
      <c r="D425" s="73" t="s">
        <v>1141</v>
      </c>
      <c r="E425" s="75">
        <v>0.13125</v>
      </c>
    </row>
    <row r="426" spans="1:5">
      <c r="A426" s="71"/>
      <c r="B426" s="71" t="s">
        <v>875</v>
      </c>
      <c r="C426" s="71"/>
      <c r="D426" s="73" t="s">
        <v>1142</v>
      </c>
      <c r="E426" s="75">
        <v>1.0625</v>
      </c>
    </row>
    <row r="427" spans="1:5">
      <c r="A427" s="71"/>
      <c r="B427" s="71" t="s">
        <v>875</v>
      </c>
      <c r="C427" s="71"/>
      <c r="D427" s="73" t="s">
        <v>1068</v>
      </c>
      <c r="E427" s="75">
        <v>8.291666</v>
      </c>
    </row>
    <row r="428" spans="1:5">
      <c r="A428" s="71">
        <v>160</v>
      </c>
      <c r="B428" s="71" t="s">
        <v>875</v>
      </c>
      <c r="C428" s="71" t="s">
        <v>970</v>
      </c>
      <c r="D428" s="73" t="s">
        <v>1029</v>
      </c>
      <c r="E428" s="75">
        <v>0.2679</v>
      </c>
    </row>
    <row r="429" spans="1:5">
      <c r="A429" s="71"/>
      <c r="B429" s="71" t="s">
        <v>875</v>
      </c>
      <c r="C429" s="71"/>
      <c r="D429" s="73" t="s">
        <v>1030</v>
      </c>
      <c r="E429" s="75">
        <v>0.331</v>
      </c>
    </row>
    <row r="430" spans="1:5">
      <c r="A430" s="71"/>
      <c r="B430" s="71" t="s">
        <v>875</v>
      </c>
      <c r="C430" s="71"/>
      <c r="D430" s="73" t="s">
        <v>1077</v>
      </c>
      <c r="E430" s="75">
        <v>0.2679</v>
      </c>
    </row>
    <row r="431" spans="1:5">
      <c r="A431" s="71"/>
      <c r="B431" s="71" t="s">
        <v>875</v>
      </c>
      <c r="C431" s="71"/>
      <c r="D431" s="73" t="s">
        <v>1114</v>
      </c>
      <c r="E431" s="75">
        <v>0.078675</v>
      </c>
    </row>
    <row r="432" spans="1:5">
      <c r="A432" s="71"/>
      <c r="B432" s="71" t="s">
        <v>875</v>
      </c>
      <c r="C432" s="71"/>
      <c r="D432" s="73" t="s">
        <v>1062</v>
      </c>
      <c r="E432" s="75">
        <v>0.045344</v>
      </c>
    </row>
    <row r="433" spans="1:5">
      <c r="A433" s="71"/>
      <c r="B433" s="71" t="s">
        <v>875</v>
      </c>
      <c r="C433" s="71"/>
      <c r="D433" s="73" t="s">
        <v>690</v>
      </c>
      <c r="E433" s="75">
        <v>0.1142</v>
      </c>
    </row>
    <row r="434" spans="1:5">
      <c r="A434" s="71"/>
      <c r="B434" s="71" t="s">
        <v>875</v>
      </c>
      <c r="C434" s="71"/>
      <c r="D434" s="73" t="s">
        <v>1115</v>
      </c>
      <c r="E434" s="75">
        <v>0.063</v>
      </c>
    </row>
    <row r="435" spans="1:5">
      <c r="A435" s="71">
        <v>161</v>
      </c>
      <c r="B435" s="71" t="s">
        <v>875</v>
      </c>
      <c r="C435" s="71" t="s">
        <v>970</v>
      </c>
      <c r="D435" s="73" t="s">
        <v>1029</v>
      </c>
      <c r="E435" s="75">
        <v>0.5435</v>
      </c>
    </row>
    <row r="436" spans="1:5">
      <c r="A436" s="71"/>
      <c r="B436" s="71" t="s">
        <v>875</v>
      </c>
      <c r="C436" s="71"/>
      <c r="D436" s="73" t="s">
        <v>1030</v>
      </c>
      <c r="E436" s="75">
        <v>0.34125</v>
      </c>
    </row>
    <row r="437" spans="1:5">
      <c r="A437" s="71"/>
      <c r="B437" s="71" t="s">
        <v>875</v>
      </c>
      <c r="C437" s="71"/>
      <c r="D437" s="73" t="s">
        <v>1072</v>
      </c>
      <c r="E437" s="75">
        <v>0.27975</v>
      </c>
    </row>
    <row r="438" spans="1:5">
      <c r="A438" s="71"/>
      <c r="B438" s="71" t="s">
        <v>875</v>
      </c>
      <c r="C438" s="71"/>
      <c r="D438" s="73" t="s">
        <v>1114</v>
      </c>
      <c r="E438" s="75">
        <v>0.13554</v>
      </c>
    </row>
    <row r="439" spans="1:5">
      <c r="A439" s="71"/>
      <c r="B439" s="71" t="s">
        <v>875</v>
      </c>
      <c r="C439" s="71"/>
      <c r="D439" s="73" t="s">
        <v>1062</v>
      </c>
      <c r="E439" s="75">
        <v>0.046704</v>
      </c>
    </row>
    <row r="440" spans="1:5">
      <c r="A440" s="71"/>
      <c r="B440" s="71" t="s">
        <v>875</v>
      </c>
      <c r="C440" s="71"/>
      <c r="D440" s="73" t="s">
        <v>690</v>
      </c>
      <c r="E440" s="75">
        <v>0.1236</v>
      </c>
    </row>
    <row r="441" spans="1:5">
      <c r="A441" s="71">
        <v>162</v>
      </c>
      <c r="B441" s="71" t="s">
        <v>875</v>
      </c>
      <c r="C441" s="71" t="s">
        <v>1040</v>
      </c>
      <c r="D441" s="73" t="s">
        <v>1143</v>
      </c>
      <c r="E441" s="75">
        <v>0.062588</v>
      </c>
    </row>
    <row r="442" spans="1:5">
      <c r="A442" s="71">
        <v>163</v>
      </c>
      <c r="B442" s="71" t="s">
        <v>875</v>
      </c>
      <c r="C442" s="71" t="s">
        <v>1040</v>
      </c>
      <c r="D442" s="73" t="s">
        <v>1029</v>
      </c>
      <c r="E442" s="75">
        <v>0.7196</v>
      </c>
    </row>
    <row r="443" spans="1:5">
      <c r="A443" s="71"/>
      <c r="B443" s="71" t="s">
        <v>875</v>
      </c>
      <c r="C443" s="71"/>
      <c r="D443" s="73" t="s">
        <v>1030</v>
      </c>
      <c r="E443" s="75">
        <v>0.49525</v>
      </c>
    </row>
    <row r="444" spans="1:5">
      <c r="A444" s="71"/>
      <c r="B444" s="71" t="s">
        <v>875</v>
      </c>
      <c r="C444" s="71"/>
      <c r="D444" s="73" t="s">
        <v>1031</v>
      </c>
      <c r="E444" s="75">
        <v>0.39165</v>
      </c>
    </row>
    <row r="445" spans="1:5">
      <c r="A445" s="71"/>
      <c r="B445" s="71" t="s">
        <v>875</v>
      </c>
      <c r="C445" s="71"/>
      <c r="D445" s="73" t="s">
        <v>1075</v>
      </c>
      <c r="E445" s="75">
        <v>0.1539</v>
      </c>
    </row>
    <row r="446" spans="1:5">
      <c r="A446" s="71"/>
      <c r="B446" s="71" t="s">
        <v>875</v>
      </c>
      <c r="C446" s="71"/>
      <c r="D446" s="73" t="s">
        <v>1144</v>
      </c>
      <c r="E446" s="75">
        <v>0.173508</v>
      </c>
    </row>
    <row r="447" spans="1:5">
      <c r="A447" s="71"/>
      <c r="B447" s="71" t="s">
        <v>875</v>
      </c>
      <c r="C447" s="71"/>
      <c r="D447" s="73" t="s">
        <v>1145</v>
      </c>
      <c r="E447" s="75">
        <v>0.0016</v>
      </c>
    </row>
    <row r="448" spans="1:5">
      <c r="A448" s="71"/>
      <c r="B448" s="71" t="s">
        <v>875</v>
      </c>
      <c r="C448" s="71"/>
      <c r="D448" s="73" t="s">
        <v>1146</v>
      </c>
      <c r="E448" s="75">
        <v>0.001667</v>
      </c>
    </row>
    <row r="449" spans="1:5">
      <c r="A449" s="71"/>
      <c r="B449" s="71" t="s">
        <v>875</v>
      </c>
      <c r="C449" s="71"/>
      <c r="D449" s="73" t="s">
        <v>1057</v>
      </c>
      <c r="E449" s="75">
        <v>0.006652</v>
      </c>
    </row>
    <row r="450" spans="1:5">
      <c r="A450" s="71"/>
      <c r="B450" s="71" t="s">
        <v>875</v>
      </c>
      <c r="C450" s="71"/>
      <c r="D450" s="73" t="s">
        <v>1073</v>
      </c>
      <c r="E450" s="75">
        <v>0.2661</v>
      </c>
    </row>
    <row r="451" spans="1:5">
      <c r="A451" s="71"/>
      <c r="B451" s="71" t="s">
        <v>875</v>
      </c>
      <c r="C451" s="71"/>
      <c r="D451" s="73" t="s">
        <v>1147</v>
      </c>
      <c r="E451" s="75">
        <v>0.017955</v>
      </c>
    </row>
    <row r="452" spans="1:5">
      <c r="A452" s="71"/>
      <c r="B452" s="71" t="s">
        <v>875</v>
      </c>
      <c r="C452" s="71"/>
      <c r="D452" s="73" t="s">
        <v>1148</v>
      </c>
      <c r="E452" s="75">
        <v>0.13125</v>
      </c>
    </row>
    <row r="453" spans="1:5">
      <c r="A453" s="71">
        <v>164</v>
      </c>
      <c r="B453" s="71" t="s">
        <v>875</v>
      </c>
      <c r="C453" s="71" t="s">
        <v>933</v>
      </c>
      <c r="D453" s="73" t="s">
        <v>1149</v>
      </c>
      <c r="E453" s="75">
        <v>22.53092</v>
      </c>
    </row>
    <row r="454" spans="1:5">
      <c r="A454" s="71">
        <v>165</v>
      </c>
      <c r="B454" s="71" t="s">
        <v>875</v>
      </c>
      <c r="C454" s="71" t="s">
        <v>956</v>
      </c>
      <c r="D454" s="73" t="s">
        <v>1021</v>
      </c>
      <c r="E454" s="75">
        <v>0.39635</v>
      </c>
    </row>
    <row r="455" spans="1:5">
      <c r="A455" s="71"/>
      <c r="B455" s="71" t="s">
        <v>875</v>
      </c>
      <c r="C455" s="71"/>
      <c r="D455" s="73" t="s">
        <v>1020</v>
      </c>
      <c r="E455" s="75">
        <v>4.838764</v>
      </c>
    </row>
    <row r="456" spans="1:5">
      <c r="A456" s="71"/>
      <c r="B456" s="71" t="s">
        <v>875</v>
      </c>
      <c r="C456" s="71"/>
      <c r="D456" s="73" t="s">
        <v>1150</v>
      </c>
      <c r="E456" s="75">
        <v>0.797607</v>
      </c>
    </row>
    <row r="457" spans="1:5">
      <c r="A457" s="71"/>
      <c r="B457" s="71" t="s">
        <v>875</v>
      </c>
      <c r="C457" s="71"/>
      <c r="D457" s="73" t="s">
        <v>1151</v>
      </c>
      <c r="E457" s="75">
        <v>0.228965</v>
      </c>
    </row>
    <row r="458" spans="1:5">
      <c r="A458" s="71"/>
      <c r="B458" s="71" t="s">
        <v>875</v>
      </c>
      <c r="C458" s="71"/>
      <c r="D458" s="73" t="s">
        <v>1152</v>
      </c>
      <c r="E458" s="75">
        <v>5.581</v>
      </c>
    </row>
    <row r="459" spans="1:5">
      <c r="A459" s="71">
        <v>166</v>
      </c>
      <c r="B459" s="71" t="s">
        <v>875</v>
      </c>
      <c r="C459" s="71" t="s">
        <v>983</v>
      </c>
      <c r="D459" s="73" t="s">
        <v>1067</v>
      </c>
      <c r="E459" s="75">
        <v>0.790447</v>
      </c>
    </row>
    <row r="460" spans="1:5">
      <c r="A460" s="71"/>
      <c r="B460" s="71" t="s">
        <v>875</v>
      </c>
      <c r="C460" s="71"/>
      <c r="D460" s="73" t="s">
        <v>1153</v>
      </c>
      <c r="E460" s="75">
        <v>0.0727</v>
      </c>
    </row>
    <row r="461" spans="1:5">
      <c r="A461" s="71"/>
      <c r="B461" s="71" t="s">
        <v>875</v>
      </c>
      <c r="C461" s="71"/>
      <c r="D461" s="73" t="s">
        <v>1126</v>
      </c>
      <c r="E461" s="75">
        <v>3.0318</v>
      </c>
    </row>
    <row r="462" spans="1:5">
      <c r="A462" s="71"/>
      <c r="B462" s="71" t="s">
        <v>875</v>
      </c>
      <c r="C462" s="71"/>
      <c r="D462" s="73" t="s">
        <v>1023</v>
      </c>
      <c r="E462" s="75">
        <v>0.0096</v>
      </c>
    </row>
    <row r="463" spans="1:5">
      <c r="A463" s="71"/>
      <c r="B463" s="71" t="s">
        <v>875</v>
      </c>
      <c r="C463" s="71"/>
      <c r="D463" s="73" t="s">
        <v>1020</v>
      </c>
      <c r="E463" s="75">
        <v>0.0906</v>
      </c>
    </row>
    <row r="464" spans="1:5">
      <c r="A464" s="71"/>
      <c r="B464" s="71" t="s">
        <v>875</v>
      </c>
      <c r="C464" s="71"/>
      <c r="D464" s="73" t="s">
        <v>1154</v>
      </c>
      <c r="E464" s="75">
        <v>1.616</v>
      </c>
    </row>
    <row r="465" spans="1:5">
      <c r="A465" s="71">
        <v>167</v>
      </c>
      <c r="B465" s="71" t="s">
        <v>875</v>
      </c>
      <c r="C465" s="71" t="s">
        <v>921</v>
      </c>
      <c r="D465" s="73" t="s">
        <v>1058</v>
      </c>
      <c r="E465" s="75">
        <v>12.96636</v>
      </c>
    </row>
    <row r="466" spans="1:5">
      <c r="A466" s="71"/>
      <c r="B466" s="71" t="s">
        <v>875</v>
      </c>
      <c r="C466" s="71"/>
      <c r="D466" s="73" t="s">
        <v>1083</v>
      </c>
      <c r="E466" s="75">
        <v>7.41632</v>
      </c>
    </row>
    <row r="467" spans="1:5">
      <c r="A467" s="71"/>
      <c r="B467" s="71" t="s">
        <v>875</v>
      </c>
      <c r="C467" s="71"/>
      <c r="D467" s="73" t="s">
        <v>1058</v>
      </c>
      <c r="E467" s="75">
        <v>29.08368</v>
      </c>
    </row>
    <row r="468" spans="1:5">
      <c r="A468" s="71"/>
      <c r="B468" s="71" t="s">
        <v>875</v>
      </c>
      <c r="C468" s="71"/>
      <c r="D468" s="73" t="s">
        <v>1058</v>
      </c>
      <c r="E468" s="75">
        <v>49.9776</v>
      </c>
    </row>
    <row r="469" spans="1:5">
      <c r="A469" s="71"/>
      <c r="B469" s="71" t="s">
        <v>875</v>
      </c>
      <c r="C469" s="71"/>
      <c r="D469" s="73" t="s">
        <v>1058</v>
      </c>
      <c r="E469" s="75">
        <v>14.47686</v>
      </c>
    </row>
    <row r="470" spans="1:5">
      <c r="A470" s="71"/>
      <c r="B470" s="71" t="s">
        <v>875</v>
      </c>
      <c r="C470" s="71"/>
      <c r="D470" s="73" t="s">
        <v>1083</v>
      </c>
      <c r="E470" s="75">
        <v>6.4256</v>
      </c>
    </row>
    <row r="471" spans="1:5">
      <c r="A471" s="71"/>
      <c r="B471" s="71" t="s">
        <v>875</v>
      </c>
      <c r="C471" s="71"/>
      <c r="D471" s="73" t="s">
        <v>1058</v>
      </c>
      <c r="E471" s="75">
        <v>18.44406</v>
      </c>
    </row>
    <row r="472" spans="1:5">
      <c r="A472" s="71"/>
      <c r="B472" s="71" t="s">
        <v>875</v>
      </c>
      <c r="C472" s="71"/>
      <c r="D472" s="73" t="s">
        <v>1083</v>
      </c>
      <c r="E472" s="75">
        <v>5.22774</v>
      </c>
    </row>
    <row r="473" spans="1:5">
      <c r="A473" s="71"/>
      <c r="B473" s="71" t="s">
        <v>875</v>
      </c>
      <c r="C473" s="71"/>
      <c r="D473" s="73" t="s">
        <v>1058</v>
      </c>
      <c r="E473" s="75">
        <v>13.99464</v>
      </c>
    </row>
    <row r="474" spans="1:5">
      <c r="A474" s="71"/>
      <c r="B474" s="71" t="s">
        <v>875</v>
      </c>
      <c r="C474" s="71"/>
      <c r="D474" s="73" t="s">
        <v>1058</v>
      </c>
      <c r="E474" s="75">
        <v>15.86652</v>
      </c>
    </row>
    <row r="475" spans="1:5">
      <c r="A475" s="71"/>
      <c r="B475" s="71" t="s">
        <v>875</v>
      </c>
      <c r="C475" s="71"/>
      <c r="D475" s="73" t="s">
        <v>1083</v>
      </c>
      <c r="E475" s="75">
        <v>6.4487</v>
      </c>
    </row>
    <row r="476" spans="1:5">
      <c r="A476" s="71"/>
      <c r="B476" s="71" t="s">
        <v>875</v>
      </c>
      <c r="C476" s="71"/>
      <c r="D476" s="73" t="s">
        <v>1058</v>
      </c>
      <c r="E476" s="75">
        <v>26.98152</v>
      </c>
    </row>
    <row r="477" spans="1:5">
      <c r="A477" s="71">
        <v>168</v>
      </c>
      <c r="B477" s="71" t="s">
        <v>875</v>
      </c>
      <c r="C477" s="71" t="s">
        <v>953</v>
      </c>
      <c r="D477" s="73" t="s">
        <v>1155</v>
      </c>
      <c r="E477" s="75">
        <v>0.056</v>
      </c>
    </row>
    <row r="478" spans="1:5">
      <c r="A478" s="71"/>
      <c r="B478" s="71" t="s">
        <v>875</v>
      </c>
      <c r="C478" s="71"/>
      <c r="D478" s="73" t="s">
        <v>1022</v>
      </c>
      <c r="E478" s="75">
        <v>3.30355</v>
      </c>
    </row>
    <row r="479" spans="1:5">
      <c r="A479" s="71"/>
      <c r="B479" s="71" t="s">
        <v>875</v>
      </c>
      <c r="C479" s="71"/>
      <c r="D479" s="73" t="s">
        <v>1156</v>
      </c>
      <c r="E479" s="75">
        <v>0.819</v>
      </c>
    </row>
    <row r="480" spans="1:5">
      <c r="A480" s="71"/>
      <c r="B480" s="71" t="s">
        <v>875</v>
      </c>
      <c r="C480" s="71"/>
      <c r="D480" s="73" t="s">
        <v>1157</v>
      </c>
      <c r="E480" s="75">
        <v>0.540249</v>
      </c>
    </row>
    <row r="481" spans="1:5">
      <c r="A481" s="71"/>
      <c r="B481" s="71" t="s">
        <v>875</v>
      </c>
      <c r="C481" s="71"/>
      <c r="D481" s="73" t="s">
        <v>1047</v>
      </c>
      <c r="E481" s="75">
        <v>0.794036</v>
      </c>
    </row>
    <row r="482" spans="1:5">
      <c r="A482" s="71"/>
      <c r="B482" s="71" t="s">
        <v>875</v>
      </c>
      <c r="C482" s="71"/>
      <c r="D482" s="73" t="s">
        <v>1046</v>
      </c>
      <c r="E482" s="75">
        <v>0.4644</v>
      </c>
    </row>
    <row r="483" spans="1:5">
      <c r="A483" s="71"/>
      <c r="B483" s="71" t="s">
        <v>875</v>
      </c>
      <c r="C483" s="71"/>
      <c r="D483" s="73" t="s">
        <v>1158</v>
      </c>
      <c r="E483" s="75">
        <v>0.6714</v>
      </c>
    </row>
    <row r="484" spans="1:5">
      <c r="A484" s="71">
        <v>169</v>
      </c>
      <c r="B484" s="71" t="s">
        <v>875</v>
      </c>
      <c r="C484" s="71" t="s">
        <v>949</v>
      </c>
      <c r="D484" s="73" t="s">
        <v>1029</v>
      </c>
      <c r="E484" s="75">
        <v>0.1595</v>
      </c>
    </row>
    <row r="485" spans="1:5">
      <c r="A485" s="71"/>
      <c r="B485" s="71" t="s">
        <v>875</v>
      </c>
      <c r="C485" s="71"/>
      <c r="D485" s="73" t="s">
        <v>1030</v>
      </c>
      <c r="E485" s="75">
        <v>0.0195</v>
      </c>
    </row>
    <row r="486" spans="1:5">
      <c r="A486" s="71"/>
      <c r="B486" s="71" t="s">
        <v>875</v>
      </c>
      <c r="C486" s="71"/>
      <c r="D486" s="73" t="s">
        <v>1077</v>
      </c>
      <c r="E486" s="75">
        <v>0.0507</v>
      </c>
    </row>
    <row r="487" spans="1:5">
      <c r="A487" s="71"/>
      <c r="B487" s="71" t="s">
        <v>875</v>
      </c>
      <c r="C487" s="71"/>
      <c r="D487" s="73" t="s">
        <v>1029</v>
      </c>
      <c r="E487" s="75">
        <v>1.479361</v>
      </c>
    </row>
    <row r="488" spans="1:5">
      <c r="A488" s="71"/>
      <c r="B488" s="71" t="s">
        <v>875</v>
      </c>
      <c r="C488" s="71"/>
      <c r="D488" s="73" t="s">
        <v>1030</v>
      </c>
      <c r="E488" s="75">
        <v>0.461236</v>
      </c>
    </row>
    <row r="489" spans="1:5">
      <c r="A489" s="71"/>
      <c r="B489" s="71" t="s">
        <v>875</v>
      </c>
      <c r="C489" s="71"/>
      <c r="D489" s="73" t="s">
        <v>1031</v>
      </c>
      <c r="E489" s="75">
        <v>0.1002</v>
      </c>
    </row>
    <row r="490" spans="1:5">
      <c r="A490" s="71"/>
      <c r="B490" s="71" t="s">
        <v>875</v>
      </c>
      <c r="C490" s="71"/>
      <c r="D490" s="73" t="s">
        <v>1114</v>
      </c>
      <c r="E490" s="75">
        <v>0.435711</v>
      </c>
    </row>
    <row r="491" spans="1:5">
      <c r="A491" s="71"/>
      <c r="B491" s="71" t="s">
        <v>875</v>
      </c>
      <c r="C491" s="71"/>
      <c r="D491" s="73" t="s">
        <v>690</v>
      </c>
      <c r="E491" s="75">
        <v>0.356227</v>
      </c>
    </row>
    <row r="492" spans="1:5">
      <c r="A492" s="71">
        <v>170</v>
      </c>
      <c r="B492" s="71" t="s">
        <v>875</v>
      </c>
      <c r="C492" s="71" t="s">
        <v>928</v>
      </c>
      <c r="D492" s="73" t="s">
        <v>1030</v>
      </c>
      <c r="E492" s="75">
        <v>0.324</v>
      </c>
    </row>
    <row r="493" spans="1:5">
      <c r="A493" s="71"/>
      <c r="B493" s="71" t="s">
        <v>875</v>
      </c>
      <c r="C493" s="71"/>
      <c r="D493" s="73" t="s">
        <v>1057</v>
      </c>
      <c r="E493" s="75">
        <v>0.054552</v>
      </c>
    </row>
    <row r="494" spans="1:5">
      <c r="A494" s="71"/>
      <c r="B494" s="71" t="s">
        <v>875</v>
      </c>
      <c r="C494" s="71"/>
      <c r="D494" s="73" t="s">
        <v>1029</v>
      </c>
      <c r="E494" s="75">
        <v>0.514</v>
      </c>
    </row>
    <row r="495" spans="1:5">
      <c r="A495" s="71"/>
      <c r="B495" s="71" t="s">
        <v>875</v>
      </c>
      <c r="C495" s="71"/>
      <c r="D495" s="73" t="s">
        <v>1031</v>
      </c>
      <c r="E495" s="75">
        <v>0.27975</v>
      </c>
    </row>
    <row r="496" spans="1:5">
      <c r="A496" s="71"/>
      <c r="B496" s="71" t="s">
        <v>875</v>
      </c>
      <c r="C496" s="71"/>
      <c r="D496" s="73" t="s">
        <v>1030</v>
      </c>
      <c r="E496" s="75">
        <v>0.37955</v>
      </c>
    </row>
    <row r="497" spans="1:5">
      <c r="A497" s="71"/>
      <c r="B497" s="71" t="s">
        <v>875</v>
      </c>
      <c r="C497" s="71"/>
      <c r="D497" s="73" t="s">
        <v>690</v>
      </c>
      <c r="E497" s="75">
        <v>0.1206</v>
      </c>
    </row>
    <row r="498" spans="1:5">
      <c r="A498" s="71"/>
      <c r="B498" s="71" t="s">
        <v>875</v>
      </c>
      <c r="C498" s="71"/>
      <c r="D498" s="73" t="s">
        <v>1073</v>
      </c>
      <c r="E498" s="75">
        <v>0.197175</v>
      </c>
    </row>
    <row r="499" spans="1:5">
      <c r="A499" s="71"/>
      <c r="B499" s="71" t="s">
        <v>875</v>
      </c>
      <c r="C499" s="71"/>
      <c r="D499" s="73" t="s">
        <v>1074</v>
      </c>
      <c r="E499" s="75">
        <v>0.131764</v>
      </c>
    </row>
    <row r="500" spans="1:5">
      <c r="A500" s="71"/>
      <c r="B500" s="71" t="s">
        <v>875</v>
      </c>
      <c r="C500" s="71"/>
      <c r="D500" s="73" t="s">
        <v>1057</v>
      </c>
      <c r="E500" s="75">
        <v>0.002054</v>
      </c>
    </row>
    <row r="501" spans="1:5">
      <c r="A501" s="71"/>
      <c r="B501" s="71" t="s">
        <v>875</v>
      </c>
      <c r="C501" s="71"/>
      <c r="D501" s="73" t="s">
        <v>1029</v>
      </c>
      <c r="E501" s="75">
        <v>0.43475</v>
      </c>
    </row>
    <row r="502" spans="1:5">
      <c r="A502" s="71"/>
      <c r="B502" s="71" t="s">
        <v>875</v>
      </c>
      <c r="C502" s="71"/>
      <c r="D502" s="73" t="s">
        <v>1031</v>
      </c>
      <c r="E502" s="75">
        <v>0.22375</v>
      </c>
    </row>
    <row r="503" spans="1:5">
      <c r="A503" s="71"/>
      <c r="B503" s="71" t="s">
        <v>875</v>
      </c>
      <c r="C503" s="71"/>
      <c r="D503" s="73" t="s">
        <v>1030</v>
      </c>
      <c r="E503" s="75">
        <v>0.257</v>
      </c>
    </row>
    <row r="504" spans="1:5">
      <c r="A504" s="71"/>
      <c r="B504" s="71" t="s">
        <v>875</v>
      </c>
      <c r="C504" s="71"/>
      <c r="D504" s="73" t="s">
        <v>690</v>
      </c>
      <c r="E504" s="75">
        <v>0.1016</v>
      </c>
    </row>
    <row r="505" spans="1:5">
      <c r="A505" s="71"/>
      <c r="B505" s="71" t="s">
        <v>875</v>
      </c>
      <c r="C505" s="71"/>
      <c r="D505" s="73" t="s">
        <v>1073</v>
      </c>
      <c r="E505" s="75">
        <v>0.162648</v>
      </c>
    </row>
    <row r="506" spans="1:5">
      <c r="A506" s="71"/>
      <c r="B506" s="71" t="s">
        <v>875</v>
      </c>
      <c r="C506" s="71"/>
      <c r="D506" s="73" t="s">
        <v>889</v>
      </c>
      <c r="E506" s="75">
        <v>0.081324</v>
      </c>
    </row>
    <row r="507" spans="1:5">
      <c r="A507" s="71"/>
      <c r="B507" s="71" t="s">
        <v>875</v>
      </c>
      <c r="C507" s="71"/>
      <c r="D507" s="73" t="s">
        <v>1074</v>
      </c>
      <c r="E507" s="75">
        <v>0.119466</v>
      </c>
    </row>
    <row r="508" spans="1:5">
      <c r="A508" s="71"/>
      <c r="B508" s="71" t="s">
        <v>875</v>
      </c>
      <c r="C508" s="71"/>
      <c r="D508" s="73" t="s">
        <v>1057</v>
      </c>
      <c r="E508" s="75">
        <v>0.005082</v>
      </c>
    </row>
    <row r="509" spans="1:5">
      <c r="A509" s="71"/>
      <c r="B509" s="71" t="s">
        <v>875</v>
      </c>
      <c r="C509" s="71"/>
      <c r="D509" s="73" t="s">
        <v>1058</v>
      </c>
      <c r="E509" s="75">
        <v>0.002</v>
      </c>
    </row>
    <row r="510" spans="1:5">
      <c r="A510" s="71"/>
      <c r="B510" s="71" t="s">
        <v>875</v>
      </c>
      <c r="C510" s="71"/>
      <c r="D510" s="73" t="s">
        <v>1083</v>
      </c>
      <c r="E510" s="75">
        <v>6.28798</v>
      </c>
    </row>
    <row r="511" spans="1:5">
      <c r="A511" s="71"/>
      <c r="B511" s="71" t="s">
        <v>875</v>
      </c>
      <c r="C511" s="71"/>
      <c r="D511" s="73" t="s">
        <v>1029</v>
      </c>
      <c r="E511" s="75">
        <v>0.014</v>
      </c>
    </row>
    <row r="512" spans="1:5">
      <c r="A512" s="71"/>
      <c r="B512" s="71" t="s">
        <v>875</v>
      </c>
      <c r="C512" s="71"/>
      <c r="D512" s="73" t="s">
        <v>1058</v>
      </c>
      <c r="E512" s="75">
        <v>4.69674</v>
      </c>
    </row>
    <row r="513" spans="1:5">
      <c r="A513" s="71">
        <v>171</v>
      </c>
      <c r="B513" s="71" t="s">
        <v>875</v>
      </c>
      <c r="C513" s="71" t="s">
        <v>1006</v>
      </c>
      <c r="D513" s="73" t="s">
        <v>1029</v>
      </c>
      <c r="E513" s="75">
        <v>0.777</v>
      </c>
    </row>
    <row r="514" spans="1:5">
      <c r="A514" s="71"/>
      <c r="B514" s="71" t="s">
        <v>875</v>
      </c>
      <c r="C514" s="71"/>
      <c r="D514" s="73" t="s">
        <v>1030</v>
      </c>
      <c r="E514" s="75">
        <v>0.8694</v>
      </c>
    </row>
    <row r="515" spans="1:5">
      <c r="A515" s="71"/>
      <c r="B515" s="71" t="s">
        <v>875</v>
      </c>
      <c r="C515" s="71"/>
      <c r="D515" s="73" t="s">
        <v>1114</v>
      </c>
      <c r="E515" s="75">
        <v>0.274268</v>
      </c>
    </row>
    <row r="516" spans="1:5">
      <c r="A516" s="71"/>
      <c r="B516" s="71" t="s">
        <v>875</v>
      </c>
      <c r="C516" s="71"/>
      <c r="D516" s="73" t="s">
        <v>1062</v>
      </c>
      <c r="E516" s="75">
        <v>0.130131</v>
      </c>
    </row>
    <row r="517" spans="1:5">
      <c r="A517" s="71"/>
      <c r="B517" s="71" t="s">
        <v>875</v>
      </c>
      <c r="C517" s="71"/>
      <c r="D517" s="73" t="s">
        <v>1159</v>
      </c>
      <c r="E517" s="75">
        <v>0.003428</v>
      </c>
    </row>
    <row r="518" spans="1:5">
      <c r="A518" s="71"/>
      <c r="B518" s="71" t="s">
        <v>875</v>
      </c>
      <c r="C518" s="71"/>
      <c r="D518" s="73" t="s">
        <v>690</v>
      </c>
      <c r="E518" s="75">
        <v>0.1599</v>
      </c>
    </row>
    <row r="519" spans="1:5">
      <c r="A519" s="71">
        <v>172</v>
      </c>
      <c r="B519" s="71" t="s">
        <v>875</v>
      </c>
      <c r="C519" s="71" t="s">
        <v>1006</v>
      </c>
      <c r="D519" s="73" t="s">
        <v>1029</v>
      </c>
      <c r="E519" s="75">
        <v>1.6156</v>
      </c>
    </row>
    <row r="520" spans="1:5">
      <c r="A520" s="71"/>
      <c r="B520" s="71" t="s">
        <v>875</v>
      </c>
      <c r="C520" s="71"/>
      <c r="D520" s="73" t="s">
        <v>1030</v>
      </c>
      <c r="E520" s="75">
        <v>1.64298</v>
      </c>
    </row>
    <row r="521" spans="1:5">
      <c r="A521" s="71"/>
      <c r="B521" s="71" t="s">
        <v>875</v>
      </c>
      <c r="C521" s="71"/>
      <c r="D521" s="73" t="s">
        <v>1114</v>
      </c>
      <c r="E521" s="75">
        <v>0.457484</v>
      </c>
    </row>
    <row r="522" spans="1:5">
      <c r="A522" s="71"/>
      <c r="B522" s="71" t="s">
        <v>875</v>
      </c>
      <c r="C522" s="71"/>
      <c r="D522" s="73" t="s">
        <v>1062</v>
      </c>
      <c r="E522" s="75">
        <v>0.260262</v>
      </c>
    </row>
    <row r="523" spans="1:5">
      <c r="A523" s="71"/>
      <c r="B523" s="71" t="s">
        <v>875</v>
      </c>
      <c r="C523" s="71"/>
      <c r="D523" s="73" t="s">
        <v>1159</v>
      </c>
      <c r="E523" s="75">
        <v>0.011436</v>
      </c>
    </row>
    <row r="524" spans="1:5">
      <c r="A524" s="71"/>
      <c r="B524" s="71" t="s">
        <v>875</v>
      </c>
      <c r="C524" s="71"/>
      <c r="D524" s="73" t="s">
        <v>690</v>
      </c>
      <c r="E524" s="75">
        <v>0.6716</v>
      </c>
    </row>
    <row r="525" spans="1:5">
      <c r="A525" s="71">
        <v>173</v>
      </c>
      <c r="B525" s="71" t="s">
        <v>875</v>
      </c>
      <c r="C525" s="71" t="s">
        <v>1006</v>
      </c>
      <c r="D525" s="73" t="s">
        <v>1029</v>
      </c>
      <c r="E525" s="75">
        <v>0.576</v>
      </c>
    </row>
    <row r="526" spans="1:5">
      <c r="A526" s="71"/>
      <c r="B526" s="71" t="s">
        <v>875</v>
      </c>
      <c r="C526" s="71"/>
      <c r="D526" s="73" t="s">
        <v>1030</v>
      </c>
      <c r="E526" s="75">
        <v>0.7238</v>
      </c>
    </row>
    <row r="527" spans="1:5">
      <c r="A527" s="71"/>
      <c r="B527" s="71" t="s">
        <v>875</v>
      </c>
      <c r="C527" s="71"/>
      <c r="D527" s="73" t="s">
        <v>1077</v>
      </c>
      <c r="E527" s="75">
        <v>0.288</v>
      </c>
    </row>
    <row r="528" spans="1:5">
      <c r="A528" s="71"/>
      <c r="B528" s="71" t="s">
        <v>875</v>
      </c>
      <c r="C528" s="71"/>
      <c r="D528" s="73" t="s">
        <v>1114</v>
      </c>
      <c r="E528" s="75">
        <v>0.161858</v>
      </c>
    </row>
    <row r="529" spans="1:5">
      <c r="A529" s="71"/>
      <c r="B529" s="71" t="s">
        <v>875</v>
      </c>
      <c r="C529" s="71"/>
      <c r="D529" s="73" t="s">
        <v>1062</v>
      </c>
      <c r="E529" s="75">
        <v>0.086754</v>
      </c>
    </row>
    <row r="530" spans="1:5">
      <c r="A530" s="71"/>
      <c r="B530" s="71" t="s">
        <v>875</v>
      </c>
      <c r="C530" s="71"/>
      <c r="D530" s="73" t="s">
        <v>1159</v>
      </c>
      <c r="E530" s="75">
        <v>0.004046</v>
      </c>
    </row>
    <row r="531" spans="1:5">
      <c r="A531" s="71"/>
      <c r="B531" s="71" t="s">
        <v>875</v>
      </c>
      <c r="C531" s="71"/>
      <c r="D531" s="73" t="s">
        <v>690</v>
      </c>
      <c r="E531" s="75">
        <v>0.2314</v>
      </c>
    </row>
    <row r="532" spans="1:5">
      <c r="A532" s="71"/>
      <c r="B532" s="71" t="s">
        <v>875</v>
      </c>
      <c r="C532" s="71"/>
      <c r="D532" s="73" t="s">
        <v>1115</v>
      </c>
      <c r="E532" s="75">
        <v>0.126</v>
      </c>
    </row>
    <row r="533" spans="1:5">
      <c r="A533" s="71">
        <v>174</v>
      </c>
      <c r="B533" s="71" t="s">
        <v>875</v>
      </c>
      <c r="C533" s="72" t="s">
        <v>1064</v>
      </c>
      <c r="D533" s="73" t="s">
        <v>1160</v>
      </c>
      <c r="E533" s="75">
        <v>16.170825</v>
      </c>
    </row>
    <row r="534" spans="1:5">
      <c r="A534" s="71">
        <v>175</v>
      </c>
      <c r="B534" s="71" t="s">
        <v>875</v>
      </c>
      <c r="C534" s="72" t="s">
        <v>937</v>
      </c>
      <c r="D534" s="73" t="s">
        <v>1161</v>
      </c>
      <c r="E534" s="75">
        <v>4.37525</v>
      </c>
    </row>
    <row r="535" spans="1:5">
      <c r="A535" s="71">
        <v>176</v>
      </c>
      <c r="B535" s="71" t="s">
        <v>875</v>
      </c>
      <c r="C535" s="72" t="s">
        <v>1162</v>
      </c>
      <c r="D535" s="73" t="s">
        <v>1163</v>
      </c>
      <c r="E535" s="75">
        <v>0.236167</v>
      </c>
    </row>
  </sheetData>
  <mergeCells count="87">
    <mergeCell ref="A2:F2"/>
    <mergeCell ref="A5:D5"/>
    <mergeCell ref="A70:A76"/>
    <mergeCell ref="A77:A88"/>
    <mergeCell ref="A103:A104"/>
    <mergeCell ref="A105:A108"/>
    <mergeCell ref="A128:A131"/>
    <mergeCell ref="A145:A152"/>
    <mergeCell ref="A154:A162"/>
    <mergeCell ref="A163:A170"/>
    <mergeCell ref="A171:A176"/>
    <mergeCell ref="A185:A191"/>
    <mergeCell ref="A192:A198"/>
    <mergeCell ref="A199:A239"/>
    <mergeCell ref="A241:A242"/>
    <mergeCell ref="A243:A249"/>
    <mergeCell ref="A252:A261"/>
    <mergeCell ref="A262:A267"/>
    <mergeCell ref="A268:A270"/>
    <mergeCell ref="A271:A273"/>
    <mergeCell ref="A274:A280"/>
    <mergeCell ref="A282:A340"/>
    <mergeCell ref="A341:A366"/>
    <mergeCell ref="A367:A373"/>
    <mergeCell ref="A375:A380"/>
    <mergeCell ref="A384:A387"/>
    <mergeCell ref="A388:A394"/>
    <mergeCell ref="A396:A401"/>
    <mergeCell ref="A406:A407"/>
    <mergeCell ref="A409:A427"/>
    <mergeCell ref="A428:A434"/>
    <mergeCell ref="A435:A440"/>
    <mergeCell ref="A442:A452"/>
    <mergeCell ref="A454:A458"/>
    <mergeCell ref="A459:A464"/>
    <mergeCell ref="A465:A476"/>
    <mergeCell ref="A477:A483"/>
    <mergeCell ref="A484:A491"/>
    <mergeCell ref="A492:A512"/>
    <mergeCell ref="A513:A518"/>
    <mergeCell ref="A519:A524"/>
    <mergeCell ref="A525:A532"/>
    <mergeCell ref="B70:B76"/>
    <mergeCell ref="B77:B88"/>
    <mergeCell ref="B268:B270"/>
    <mergeCell ref="B271:B273"/>
    <mergeCell ref="C70:C76"/>
    <mergeCell ref="C77:C88"/>
    <mergeCell ref="C103:C104"/>
    <mergeCell ref="C105:C108"/>
    <mergeCell ref="C128:C131"/>
    <mergeCell ref="C145:C152"/>
    <mergeCell ref="C154:C162"/>
    <mergeCell ref="C163:C170"/>
    <mergeCell ref="C171:C176"/>
    <mergeCell ref="C185:C191"/>
    <mergeCell ref="C192:C198"/>
    <mergeCell ref="C199:C239"/>
    <mergeCell ref="C241:C242"/>
    <mergeCell ref="C243:C249"/>
    <mergeCell ref="C252:C261"/>
    <mergeCell ref="C262:C267"/>
    <mergeCell ref="C268:C270"/>
    <mergeCell ref="C271:C273"/>
    <mergeCell ref="C274:C280"/>
    <mergeCell ref="C282:C340"/>
    <mergeCell ref="C341:C366"/>
    <mergeCell ref="C367:C373"/>
    <mergeCell ref="C375:C380"/>
    <mergeCell ref="C384:C387"/>
    <mergeCell ref="C388:C394"/>
    <mergeCell ref="C396:C401"/>
    <mergeCell ref="C406:C407"/>
    <mergeCell ref="C409:C427"/>
    <mergeCell ref="C428:C434"/>
    <mergeCell ref="C435:C440"/>
    <mergeCell ref="C442:C452"/>
    <mergeCell ref="C454:C458"/>
    <mergeCell ref="C459:C464"/>
    <mergeCell ref="C465:C476"/>
    <mergeCell ref="C477:C483"/>
    <mergeCell ref="C484:C491"/>
    <mergeCell ref="C492:C512"/>
    <mergeCell ref="C513:C518"/>
    <mergeCell ref="C519:C524"/>
    <mergeCell ref="C525:C532"/>
    <mergeCell ref="D103:D104"/>
  </mergeCells>
  <printOptions horizontalCentered="1"/>
  <pageMargins left="0.708333333333333" right="0.708333333333333" top="0.747916666666667" bottom="0.747916666666667" header="0.314583333333333" footer="0.314583333333333"/>
  <pageSetup paperSize="9" scale="64" fitToHeight="0" orientation="portrait" horizontalDpi="600"/>
  <headerFooter>
    <oddFooter>&amp;C第 &amp;P 页，共 &amp;N 页</oddFooter>
  </headerFooter>
  <rowBreaks count="4" manualBreakCount="4">
    <brk id="127" max="5" man="1"/>
    <brk id="198" max="5" man="1"/>
    <brk id="270" max="5" man="1"/>
    <brk id="336" max="5" man="1"/>
  </rowBreaks>
  <colBreaks count="1" manualBreakCount="1">
    <brk id="5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6"/>
  <sheetViews>
    <sheetView workbookViewId="0">
      <selection activeCell="C16" sqref="C16"/>
    </sheetView>
  </sheetViews>
  <sheetFormatPr defaultColWidth="9" defaultRowHeight="14.25" outlineLevelRow="5" outlineLevelCol="6"/>
  <cols>
    <col min="1" max="1" width="14.25" customWidth="1"/>
    <col min="2" max="2" width="19.5" customWidth="1"/>
    <col min="3" max="3" width="18.625" customWidth="1"/>
    <col min="4" max="4" width="16.125" customWidth="1"/>
    <col min="5" max="5" width="20.5" customWidth="1"/>
    <col min="6" max="6" width="22.375" customWidth="1"/>
    <col min="7" max="7" width="13.25" customWidth="1"/>
  </cols>
  <sheetData>
    <row r="1" spans="1:1">
      <c r="A1" s="31" t="s">
        <v>33</v>
      </c>
    </row>
    <row r="2" ht="24.75" customHeight="1" spans="1:7">
      <c r="A2" s="32" t="s">
        <v>34</v>
      </c>
      <c r="B2" s="32"/>
      <c r="C2" s="32"/>
      <c r="D2" s="32"/>
      <c r="E2" s="32"/>
      <c r="F2" s="32"/>
      <c r="G2" s="33"/>
    </row>
    <row r="3" ht="15" spans="1:7">
      <c r="A3" s="34"/>
      <c r="B3" s="35"/>
      <c r="C3" s="35"/>
      <c r="D3" s="35"/>
      <c r="E3" s="36"/>
      <c r="F3" s="36" t="s">
        <v>38</v>
      </c>
      <c r="G3" s="37"/>
    </row>
    <row r="4" ht="28.5" customHeight="1" spans="1:6">
      <c r="A4" s="38" t="s">
        <v>1164</v>
      </c>
      <c r="B4" s="38"/>
      <c r="C4" s="38"/>
      <c r="D4" s="39" t="s">
        <v>1165</v>
      </c>
      <c r="E4" s="39"/>
      <c r="F4" s="39"/>
    </row>
    <row r="5" ht="32.25" customHeight="1" spans="1:6">
      <c r="A5" s="40" t="s">
        <v>1166</v>
      </c>
      <c r="B5" s="40" t="s">
        <v>1167</v>
      </c>
      <c r="C5" s="40" t="s">
        <v>1168</v>
      </c>
      <c r="D5" s="41" t="s">
        <v>1166</v>
      </c>
      <c r="E5" s="41" t="s">
        <v>1169</v>
      </c>
      <c r="F5" s="42" t="s">
        <v>1170</v>
      </c>
    </row>
    <row r="6" ht="32.25" customHeight="1" spans="1:6">
      <c r="A6" s="43">
        <f>B6+C6</f>
        <v>528907.53</v>
      </c>
      <c r="B6" s="43">
        <v>97011.97</v>
      </c>
      <c r="C6" s="43">
        <v>431895.56</v>
      </c>
      <c r="D6" s="43">
        <f>E6+F6</f>
        <v>516582.02</v>
      </c>
      <c r="E6" s="43">
        <v>90068.02</v>
      </c>
      <c r="F6" s="43">
        <f>445978-19464</f>
        <v>426514</v>
      </c>
    </row>
  </sheetData>
  <mergeCells count="3">
    <mergeCell ref="A2:F2"/>
    <mergeCell ref="A4:C4"/>
    <mergeCell ref="D4:F4"/>
  </mergeCells>
  <pageMargins left="0.708333333333333" right="0.708333333333333" top="0.747916666666667" bottom="0.747916666666667" header="0.314583333333333" footer="0.314583333333333"/>
  <pageSetup paperSize="9" scale="73" fitToHeight="0" orientation="portrait" horizontalDpi="600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43"/>
  <sheetViews>
    <sheetView view="pageBreakPreview" zoomScaleNormal="100" topLeftCell="B1" workbookViewId="0">
      <pane ySplit="4" topLeftCell="A30" activePane="bottomLeft" state="frozen"/>
      <selection/>
      <selection pane="bottomLeft" activeCell="K23" sqref="K23:K40"/>
    </sheetView>
  </sheetViews>
  <sheetFormatPr defaultColWidth="14.75" defaultRowHeight="20.25" customHeight="1"/>
  <cols>
    <col min="1" max="1" width="27.75" customWidth="1"/>
    <col min="2" max="2" width="19.5" customWidth="1"/>
    <col min="3" max="9" width="19.75" customWidth="1"/>
    <col min="10" max="10" width="72" hidden="1" customWidth="1"/>
    <col min="11" max="11" width="33.625" customWidth="1"/>
  </cols>
  <sheetData>
    <row r="1" customHeight="1" spans="1:11">
      <c r="A1" s="1" t="s">
        <v>1171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38" customHeight="1" spans="1:11">
      <c r="A2" s="3" t="s">
        <v>1172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ht="17" customHeight="1" spans="1:11">
      <c r="A3" s="2"/>
      <c r="B3" s="2"/>
      <c r="C3" s="2"/>
      <c r="D3" s="2"/>
      <c r="E3" s="2"/>
      <c r="F3" s="2"/>
      <c r="G3" s="2"/>
      <c r="H3" s="2"/>
      <c r="I3" s="2"/>
      <c r="J3" s="21" t="s">
        <v>1173</v>
      </c>
      <c r="K3" s="22" t="s">
        <v>1173</v>
      </c>
    </row>
    <row r="4" customHeight="1" spans="1:11">
      <c r="A4" s="4" t="s">
        <v>1174</v>
      </c>
      <c r="B4" s="4" t="s">
        <v>874</v>
      </c>
      <c r="C4" s="5" t="s">
        <v>1175</v>
      </c>
      <c r="D4" s="5" t="s">
        <v>1176</v>
      </c>
      <c r="E4" s="5" t="s">
        <v>1177</v>
      </c>
      <c r="F4" s="5" t="s">
        <v>1178</v>
      </c>
      <c r="G4" s="5" t="s">
        <v>1179</v>
      </c>
      <c r="H4" s="5" t="s">
        <v>1180</v>
      </c>
      <c r="I4" s="5" t="s">
        <v>1181</v>
      </c>
      <c r="J4" s="8" t="s">
        <v>72</v>
      </c>
      <c r="K4" s="5" t="s">
        <v>72</v>
      </c>
    </row>
    <row r="5" ht="21" customHeight="1" spans="1:11">
      <c r="A5" s="6" t="s">
        <v>1182</v>
      </c>
      <c r="B5" s="6"/>
      <c r="C5" s="7"/>
      <c r="D5" s="7"/>
      <c r="E5" s="7"/>
      <c r="F5" s="7"/>
      <c r="G5" s="7"/>
      <c r="H5" s="7"/>
      <c r="I5" s="7"/>
      <c r="J5" s="12"/>
      <c r="K5" s="23" t="s">
        <v>1183</v>
      </c>
    </row>
    <row r="6" ht="33" customHeight="1" spans="1:11">
      <c r="A6" s="4" t="s">
        <v>1184</v>
      </c>
      <c r="B6" s="8">
        <f t="shared" ref="B6:B20" si="0">C6+D6+E6+F6+G6+H6+I6</f>
        <v>226899419.622</v>
      </c>
      <c r="C6" s="9">
        <f t="shared" ref="C6:I6" si="1">C7+C24</f>
        <v>21402537.35</v>
      </c>
      <c r="D6" s="9">
        <f t="shared" si="1"/>
        <v>48881581.0036</v>
      </c>
      <c r="E6" s="9">
        <f t="shared" si="1"/>
        <v>40726253.46</v>
      </c>
      <c r="F6" s="9">
        <f t="shared" si="1"/>
        <v>26515574.7484</v>
      </c>
      <c r="G6" s="9">
        <f t="shared" si="1"/>
        <v>23420825.15</v>
      </c>
      <c r="H6" s="9">
        <f t="shared" si="1"/>
        <v>38834380.12</v>
      </c>
      <c r="I6" s="9">
        <f t="shared" si="1"/>
        <v>27118267.79</v>
      </c>
      <c r="J6" s="24" t="s">
        <v>1185</v>
      </c>
      <c r="K6" s="23"/>
    </row>
    <row r="7" ht="34" customHeight="1" spans="1:11">
      <c r="A7" s="10" t="s">
        <v>1186</v>
      </c>
      <c r="B7" s="11">
        <f t="shared" si="0"/>
        <v>190785152.542</v>
      </c>
      <c r="C7" s="7">
        <f t="shared" ref="C7:I7" si="2">C8+C11+C15</f>
        <v>19047255.65</v>
      </c>
      <c r="D7" s="7">
        <f t="shared" si="2"/>
        <v>46046045.3036</v>
      </c>
      <c r="E7" s="7">
        <f t="shared" si="2"/>
        <v>27966025.64</v>
      </c>
      <c r="F7" s="7">
        <f t="shared" si="2"/>
        <v>23648384.4484</v>
      </c>
      <c r="G7" s="7">
        <f t="shared" si="2"/>
        <v>20444540.19</v>
      </c>
      <c r="H7" s="7">
        <f t="shared" si="2"/>
        <v>29343008.52</v>
      </c>
      <c r="I7" s="7">
        <f t="shared" si="2"/>
        <v>24289892.79</v>
      </c>
      <c r="J7" s="25" t="s">
        <v>1187</v>
      </c>
      <c r="K7" s="23"/>
    </row>
    <row r="8" ht="34" customHeight="1" spans="1:11">
      <c r="A8" s="6" t="s">
        <v>1188</v>
      </c>
      <c r="B8" s="8">
        <f t="shared" si="0"/>
        <v>15169011.5</v>
      </c>
      <c r="C8" s="12">
        <f t="shared" ref="C8:I8" si="3">C10</f>
        <v>214515.08</v>
      </c>
      <c r="D8" s="12">
        <f t="shared" si="3"/>
        <v>1774086.6</v>
      </c>
      <c r="E8" s="12">
        <f t="shared" si="3"/>
        <v>679607.43</v>
      </c>
      <c r="F8" s="12">
        <f t="shared" si="3"/>
        <v>1654517.76</v>
      </c>
      <c r="G8" s="12">
        <f t="shared" si="3"/>
        <v>2184030.2</v>
      </c>
      <c r="H8" s="12">
        <f t="shared" si="3"/>
        <v>2245057.34</v>
      </c>
      <c r="I8" s="12">
        <f t="shared" si="3"/>
        <v>6417197.09</v>
      </c>
      <c r="J8" s="12"/>
      <c r="K8" s="23"/>
    </row>
    <row r="9" ht="34" customHeight="1" spans="1:11">
      <c r="A9" s="6" t="s">
        <v>1189</v>
      </c>
      <c r="B9" s="8">
        <f t="shared" si="0"/>
        <v>17262742.382</v>
      </c>
      <c r="C9" s="12">
        <v>277989.732</v>
      </c>
      <c r="D9" s="12">
        <v>1619982.53</v>
      </c>
      <c r="E9" s="12">
        <v>701904.96</v>
      </c>
      <c r="F9" s="12">
        <v>1632029.04</v>
      </c>
      <c r="G9" s="12">
        <v>3468160.8</v>
      </c>
      <c r="H9" s="12">
        <v>1886061.24</v>
      </c>
      <c r="I9" s="12">
        <v>7676614.08</v>
      </c>
      <c r="J9" s="25" t="s">
        <v>1190</v>
      </c>
      <c r="K9" s="23"/>
    </row>
    <row r="10" ht="34" customHeight="1" spans="1:11">
      <c r="A10" s="6" t="s">
        <v>1191</v>
      </c>
      <c r="B10" s="8">
        <f t="shared" si="0"/>
        <v>15169011.5</v>
      </c>
      <c r="C10" s="12">
        <v>214515.08</v>
      </c>
      <c r="D10" s="12">
        <f>1738286.6+35800</f>
        <v>1774086.6</v>
      </c>
      <c r="E10" s="12">
        <v>679607.43</v>
      </c>
      <c r="F10" s="12">
        <f>68358.76+1586159</f>
        <v>1654517.76</v>
      </c>
      <c r="G10" s="12">
        <v>2184030.2</v>
      </c>
      <c r="H10" s="12">
        <v>2245057.34</v>
      </c>
      <c r="I10" s="12">
        <f>6326950+90247.09</f>
        <v>6417197.09</v>
      </c>
      <c r="J10" s="25" t="s">
        <v>1192</v>
      </c>
      <c r="K10" s="23"/>
    </row>
    <row r="11" ht="34" customHeight="1" spans="1:11">
      <c r="A11" s="6" t="s">
        <v>1193</v>
      </c>
      <c r="B11" s="8">
        <f t="shared" si="0"/>
        <v>96187762.16</v>
      </c>
      <c r="C11" s="7">
        <f t="shared" ref="C11:I11" si="4">C12+C13</f>
        <v>7215248.92</v>
      </c>
      <c r="D11" s="7">
        <f t="shared" si="4"/>
        <v>31751331.3</v>
      </c>
      <c r="E11" s="7">
        <f t="shared" si="4"/>
        <v>13144056.11</v>
      </c>
      <c r="F11" s="7">
        <f t="shared" si="4"/>
        <v>11903310.01</v>
      </c>
      <c r="G11" s="7">
        <f t="shared" si="4"/>
        <v>9213673.98</v>
      </c>
      <c r="H11" s="7">
        <f t="shared" si="4"/>
        <v>14705232.36</v>
      </c>
      <c r="I11" s="7">
        <f t="shared" si="4"/>
        <v>8254909.48</v>
      </c>
      <c r="J11" s="12"/>
      <c r="K11" s="23"/>
    </row>
    <row r="12" ht="34" customHeight="1" spans="1:11">
      <c r="A12" s="6" t="s">
        <v>1194</v>
      </c>
      <c r="B12" s="8">
        <f t="shared" si="0"/>
        <v>78824921.6</v>
      </c>
      <c r="C12" s="7">
        <v>5050838.36</v>
      </c>
      <c r="D12" s="7">
        <v>29473822.18</v>
      </c>
      <c r="E12" s="7">
        <v>9247016.63</v>
      </c>
      <c r="F12" s="7">
        <v>11009336.89</v>
      </c>
      <c r="G12" s="7">
        <v>7023553.86</v>
      </c>
      <c r="H12" s="7">
        <v>11732124.84</v>
      </c>
      <c r="I12" s="7">
        <v>5288228.84</v>
      </c>
      <c r="J12" s="24" t="s">
        <v>1195</v>
      </c>
      <c r="K12" s="23"/>
    </row>
    <row r="13" ht="34" customHeight="1" spans="1:11">
      <c r="A13" s="6" t="s">
        <v>1196</v>
      </c>
      <c r="B13" s="8">
        <f t="shared" si="0"/>
        <v>17362840.56</v>
      </c>
      <c r="C13" s="7">
        <v>2164410.56</v>
      </c>
      <c r="D13" s="7">
        <f>1921309.12+356200</f>
        <v>2277509.12</v>
      </c>
      <c r="E13" s="7">
        <v>3897039.48</v>
      </c>
      <c r="F13" s="7">
        <f>693973.12+200000</f>
        <v>893973.12</v>
      </c>
      <c r="G13" s="7">
        <v>2190120.12</v>
      </c>
      <c r="H13" s="7">
        <f>2495047.52+478060</f>
        <v>2973107.52</v>
      </c>
      <c r="I13" s="7">
        <f>2712202.64+254478</f>
        <v>2966680.64</v>
      </c>
      <c r="J13" s="24" t="s">
        <v>1197</v>
      </c>
      <c r="K13" s="23"/>
    </row>
    <row r="14" ht="34" customHeight="1" spans="1:11">
      <c r="A14" s="6" t="s">
        <v>1198</v>
      </c>
      <c r="B14" s="8">
        <f t="shared" si="0"/>
        <v>1311738</v>
      </c>
      <c r="C14" s="7"/>
      <c r="D14" s="7">
        <v>356200</v>
      </c>
      <c r="E14" s="7">
        <v>23000</v>
      </c>
      <c r="F14" s="7">
        <v>200000</v>
      </c>
      <c r="G14" s="7"/>
      <c r="H14" s="7">
        <f>36080+441980</f>
        <v>478060</v>
      </c>
      <c r="I14" s="7">
        <v>254478</v>
      </c>
      <c r="J14" s="24"/>
      <c r="K14" s="23"/>
    </row>
    <row r="15" ht="34" customHeight="1" spans="1:11">
      <c r="A15" s="6" t="s">
        <v>1199</v>
      </c>
      <c r="B15" s="8">
        <f t="shared" si="0"/>
        <v>79428378.882</v>
      </c>
      <c r="C15" s="7">
        <f t="shared" ref="C15:I15" si="5">C16+C21+C22+C23</f>
        <v>11617491.65</v>
      </c>
      <c r="D15" s="7">
        <f t="shared" si="5"/>
        <v>12520627.4036</v>
      </c>
      <c r="E15" s="7">
        <f t="shared" si="5"/>
        <v>14142362.1</v>
      </c>
      <c r="F15" s="7">
        <f t="shared" si="5"/>
        <v>10090556.6784</v>
      </c>
      <c r="G15" s="7">
        <f t="shared" si="5"/>
        <v>9046836.01</v>
      </c>
      <c r="H15" s="7">
        <f t="shared" si="5"/>
        <v>12392718.82</v>
      </c>
      <c r="I15" s="7">
        <f t="shared" si="5"/>
        <v>9617786.22</v>
      </c>
      <c r="J15" s="12"/>
      <c r="K15" s="23"/>
    </row>
    <row r="16" ht="34" customHeight="1" spans="1:11">
      <c r="A16" s="6" t="s">
        <v>1200</v>
      </c>
      <c r="B16" s="8">
        <f t="shared" si="0"/>
        <v>79079739.86</v>
      </c>
      <c r="C16" s="7">
        <f t="shared" ref="C16:I16" si="6">C17+C18+C19</f>
        <v>11617491.65</v>
      </c>
      <c r="D16" s="7">
        <f t="shared" si="6"/>
        <v>12446657.45</v>
      </c>
      <c r="E16" s="7">
        <f t="shared" si="6"/>
        <v>14142362.1</v>
      </c>
      <c r="F16" s="7">
        <f t="shared" si="6"/>
        <v>10074364.8</v>
      </c>
      <c r="G16" s="7">
        <f t="shared" si="6"/>
        <v>9046836.01</v>
      </c>
      <c r="H16" s="7">
        <f t="shared" si="6"/>
        <v>12134241.63</v>
      </c>
      <c r="I16" s="7">
        <f t="shared" si="6"/>
        <v>9617786.22</v>
      </c>
      <c r="J16" s="12"/>
      <c r="K16" s="23"/>
    </row>
    <row r="17" ht="34" customHeight="1" spans="1:11">
      <c r="A17" s="6" t="s">
        <v>1201</v>
      </c>
      <c r="B17" s="8">
        <f t="shared" si="0"/>
        <v>70587189.86</v>
      </c>
      <c r="C17" s="7">
        <f>10682006.73-C8</f>
        <v>10467491.65</v>
      </c>
      <c r="D17" s="7">
        <f>13070744.05-D8</f>
        <v>11296657.45</v>
      </c>
      <c r="E17" s="7">
        <f>13521969.53-E8</f>
        <v>12842362.1</v>
      </c>
      <c r="F17" s="7">
        <f>10578882.56-F10</f>
        <v>8924364.8</v>
      </c>
      <c r="G17" s="7">
        <f>9888316.21-G8</f>
        <v>7704286.01</v>
      </c>
      <c r="H17" s="7">
        <f>13229298.97-H8</f>
        <v>10984241.63</v>
      </c>
      <c r="I17" s="7">
        <f>14784983.31-I8</f>
        <v>8367786.22</v>
      </c>
      <c r="J17" s="24" t="s">
        <v>1202</v>
      </c>
      <c r="K17" s="23"/>
    </row>
    <row r="18" ht="34" customHeight="1" spans="1:11">
      <c r="A18" s="6" t="s">
        <v>1203</v>
      </c>
      <c r="B18" s="8">
        <f t="shared" si="0"/>
        <v>1300000</v>
      </c>
      <c r="C18" s="7">
        <v>150000</v>
      </c>
      <c r="D18" s="7">
        <v>150000</v>
      </c>
      <c r="E18" s="7">
        <v>300000</v>
      </c>
      <c r="F18" s="7">
        <v>150000</v>
      </c>
      <c r="G18" s="7">
        <v>150000</v>
      </c>
      <c r="H18" s="7">
        <v>150000</v>
      </c>
      <c r="I18" s="7">
        <v>250000</v>
      </c>
      <c r="J18" s="12"/>
      <c r="K18" s="23"/>
    </row>
    <row r="19" ht="34" customHeight="1" spans="1:11">
      <c r="A19" s="6" t="s">
        <v>1204</v>
      </c>
      <c r="B19" s="8">
        <f t="shared" si="0"/>
        <v>7192550</v>
      </c>
      <c r="C19" s="7">
        <v>1000000</v>
      </c>
      <c r="D19" s="7">
        <v>1000000</v>
      </c>
      <c r="E19" s="7">
        <v>1000000</v>
      </c>
      <c r="F19" s="7">
        <v>1000000</v>
      </c>
      <c r="G19" s="7">
        <f>1000000+192550</f>
        <v>1192550</v>
      </c>
      <c r="H19" s="7">
        <v>1000000</v>
      </c>
      <c r="I19" s="7">
        <v>1000000</v>
      </c>
      <c r="J19" s="12"/>
      <c r="K19" s="23"/>
    </row>
    <row r="20" ht="34" customHeight="1" spans="1:11">
      <c r="A20" s="6" t="s">
        <v>1205</v>
      </c>
      <c r="B20" s="8">
        <f t="shared" si="0"/>
        <v>-2093730.882</v>
      </c>
      <c r="C20" s="7">
        <f t="shared" ref="C20:I20" si="7">C10-C9</f>
        <v>-63474.652</v>
      </c>
      <c r="D20" s="7">
        <f t="shared" si="7"/>
        <v>154104.07</v>
      </c>
      <c r="E20" s="7">
        <f t="shared" si="7"/>
        <v>-22297.5299999999</v>
      </c>
      <c r="F20" s="7">
        <f t="shared" si="7"/>
        <v>22488.72</v>
      </c>
      <c r="G20" s="7">
        <f t="shared" si="7"/>
        <v>-1284130.6</v>
      </c>
      <c r="H20" s="7">
        <f t="shared" si="7"/>
        <v>358996.1</v>
      </c>
      <c r="I20" s="7">
        <f t="shared" si="7"/>
        <v>-1259416.99</v>
      </c>
      <c r="J20" s="12"/>
      <c r="K20" s="23"/>
    </row>
    <row r="21" ht="66" customHeight="1" spans="1:11">
      <c r="A21" s="6" t="s">
        <v>1206</v>
      </c>
      <c r="B21" s="8">
        <f>SUM(C21:I21)</f>
        <v>-2280680.748</v>
      </c>
      <c r="C21" s="7">
        <v>-63474.65</v>
      </c>
      <c r="D21" s="7">
        <f>(D10-D9)*0.8*0.6</f>
        <v>73969.9536</v>
      </c>
      <c r="E21" s="7">
        <v>-22297.5299999999</v>
      </c>
      <c r="F21" s="7">
        <f>(F10-F9)*0.8*0.9</f>
        <v>16191.8784</v>
      </c>
      <c r="G21" s="7">
        <f>2184030.2-3468160.8</f>
        <v>-1284130.6</v>
      </c>
      <c r="H21" s="7">
        <v>258477.19</v>
      </c>
      <c r="I21" s="7">
        <f>I10-I9</f>
        <v>-1259416.99</v>
      </c>
      <c r="J21" s="26"/>
      <c r="K21" s="23"/>
    </row>
    <row r="22" ht="67" customHeight="1" spans="1:11">
      <c r="A22" s="6" t="s">
        <v>1207</v>
      </c>
      <c r="B22" s="8">
        <f t="shared" ref="B22:B31" si="8">C22+D22+E22+F22+G22+H22+I22</f>
        <v>2629319.77</v>
      </c>
      <c r="C22" s="7">
        <v>63474.65</v>
      </c>
      <c r="D22" s="7"/>
      <c r="E22" s="7">
        <v>22297.5299999999</v>
      </c>
      <c r="F22" s="7"/>
      <c r="G22" s="7">
        <v>1284130.6</v>
      </c>
      <c r="H22" s="7"/>
      <c r="I22" s="7">
        <v>1259416.99</v>
      </c>
      <c r="J22" s="27"/>
      <c r="K22" s="23"/>
    </row>
    <row r="23" ht="34" customHeight="1" spans="1:11">
      <c r="A23" s="6" t="s">
        <v>1208</v>
      </c>
      <c r="B23" s="13">
        <f t="shared" si="8"/>
        <v>0</v>
      </c>
      <c r="C23" s="14">
        <v>0</v>
      </c>
      <c r="D23" s="14">
        <v>0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7"/>
      <c r="K23" s="28" t="s">
        <v>1209</v>
      </c>
    </row>
    <row r="24" ht="34" customHeight="1" spans="1:11">
      <c r="A24" s="10" t="s">
        <v>1210</v>
      </c>
      <c r="B24" s="11">
        <f t="shared" si="8"/>
        <v>36114267.08</v>
      </c>
      <c r="C24" s="7">
        <f t="shared" ref="C24:I24" si="9">SUM(C25:C28)</f>
        <v>2355281.7</v>
      </c>
      <c r="D24" s="7">
        <f t="shared" si="9"/>
        <v>2835535.7</v>
      </c>
      <c r="E24" s="7">
        <f t="shared" si="9"/>
        <v>12760227.82</v>
      </c>
      <c r="F24" s="7">
        <f t="shared" si="9"/>
        <v>2867190.3</v>
      </c>
      <c r="G24" s="7">
        <f t="shared" si="9"/>
        <v>2976284.96</v>
      </c>
      <c r="H24" s="7">
        <f t="shared" si="9"/>
        <v>9491371.6</v>
      </c>
      <c r="I24" s="7">
        <f t="shared" si="9"/>
        <v>2828375</v>
      </c>
      <c r="J24" s="25"/>
      <c r="K24" s="29"/>
    </row>
    <row r="25" ht="34" customHeight="1" spans="1:11">
      <c r="A25" s="6" t="s">
        <v>1211</v>
      </c>
      <c r="B25" s="8">
        <f t="shared" si="8"/>
        <v>3293660.89</v>
      </c>
      <c r="C25" s="7">
        <v>159236</v>
      </c>
      <c r="D25" s="7">
        <v>7429</v>
      </c>
      <c r="E25" s="7">
        <v>2445195.89</v>
      </c>
      <c r="F25" s="7">
        <v>608974</v>
      </c>
      <c r="G25" s="7">
        <v>48407</v>
      </c>
      <c r="H25" s="7">
        <v>11729</v>
      </c>
      <c r="I25" s="7">
        <v>12690</v>
      </c>
      <c r="J25" s="25" t="s">
        <v>1212</v>
      </c>
      <c r="K25" s="29"/>
    </row>
    <row r="26" ht="34" customHeight="1" spans="1:11">
      <c r="A26" s="6" t="s">
        <v>1213</v>
      </c>
      <c r="B26" s="8">
        <f t="shared" si="8"/>
        <v>112000</v>
      </c>
      <c r="C26" s="7">
        <v>0</v>
      </c>
      <c r="D26" s="7">
        <v>0</v>
      </c>
      <c r="E26" s="7">
        <v>0</v>
      </c>
      <c r="F26" s="7">
        <v>0</v>
      </c>
      <c r="G26" s="7">
        <v>0</v>
      </c>
      <c r="H26" s="7">
        <v>0</v>
      </c>
      <c r="I26" s="7">
        <v>112000</v>
      </c>
      <c r="J26" s="25" t="s">
        <v>1214</v>
      </c>
      <c r="K26" s="29"/>
    </row>
    <row r="27" ht="34" customHeight="1" spans="1:11">
      <c r="A27" s="6" t="s">
        <v>1215</v>
      </c>
      <c r="B27" s="8">
        <f t="shared" si="8"/>
        <v>32539974.19</v>
      </c>
      <c r="C27" s="7">
        <v>2196045.7</v>
      </c>
      <c r="D27" s="7">
        <v>2828106.7</v>
      </c>
      <c r="E27" s="7">
        <v>10315031.93</v>
      </c>
      <c r="F27" s="7">
        <v>2258216.3</v>
      </c>
      <c r="G27" s="7">
        <v>2927877.96</v>
      </c>
      <c r="H27" s="7">
        <v>9479642.6</v>
      </c>
      <c r="I27" s="7">
        <v>2535053</v>
      </c>
      <c r="J27" s="25" t="s">
        <v>1216</v>
      </c>
      <c r="K27" s="29"/>
    </row>
    <row r="28" ht="34" customHeight="1" spans="1:11">
      <c r="A28" s="6" t="s">
        <v>1217</v>
      </c>
      <c r="B28" s="8">
        <f t="shared" si="8"/>
        <v>168632</v>
      </c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30">
        <v>168632</v>
      </c>
      <c r="J28" s="25" t="s">
        <v>1218</v>
      </c>
      <c r="K28" s="29"/>
    </row>
    <row r="29" ht="34" customHeight="1" spans="1:11">
      <c r="A29" s="10" t="s">
        <v>1219</v>
      </c>
      <c r="B29" s="11">
        <f t="shared" si="8"/>
        <v>157493776.69</v>
      </c>
      <c r="C29" s="15">
        <f>SUM(C30:C34)</f>
        <v>15610576.66</v>
      </c>
      <c r="D29" s="15">
        <f t="shared" ref="D29:F29" si="10">D30+D31+D33+D34</f>
        <v>39657382.51</v>
      </c>
      <c r="E29" s="15">
        <f t="shared" si="10"/>
        <v>23284228.44</v>
      </c>
      <c r="F29" s="15">
        <f t="shared" si="10"/>
        <v>21185583.05</v>
      </c>
      <c r="G29" s="15">
        <f>SUM(G30:G34)</f>
        <v>14723812.58</v>
      </c>
      <c r="H29" s="15">
        <f>H30+H31+H33+H34</f>
        <v>23654273.14</v>
      </c>
      <c r="I29" s="15">
        <f>I30+I31+I33+I34</f>
        <v>19377920.31</v>
      </c>
      <c r="J29" s="15"/>
      <c r="K29" s="29"/>
    </row>
    <row r="30" ht="34" customHeight="1" spans="1:11">
      <c r="A30" s="6" t="s">
        <v>1220</v>
      </c>
      <c r="B30" s="8">
        <f t="shared" si="8"/>
        <v>94235722.6</v>
      </c>
      <c r="C30" s="9">
        <v>11829906.73</v>
      </c>
      <c r="D30" s="9">
        <v>14220744.05</v>
      </c>
      <c r="E30" s="9">
        <v>14821969.53</v>
      </c>
      <c r="F30" s="9">
        <v>11721428.64</v>
      </c>
      <c r="G30" s="9">
        <v>11227391.37</v>
      </c>
      <c r="H30" s="9">
        <v>14379298.97</v>
      </c>
      <c r="I30" s="9">
        <v>16034983.31</v>
      </c>
      <c r="J30" s="24" t="s">
        <v>1221</v>
      </c>
      <c r="K30" s="29"/>
    </row>
    <row r="31" ht="34" customHeight="1" spans="1:11">
      <c r="A31" s="6" t="s">
        <v>1222</v>
      </c>
      <c r="B31" s="8">
        <f t="shared" si="8"/>
        <v>10487433.46</v>
      </c>
      <c r="C31" s="9">
        <v>1452541.93</v>
      </c>
      <c r="D31" s="9">
        <v>1648829.12</v>
      </c>
      <c r="E31" s="9">
        <v>2866493.91</v>
      </c>
      <c r="F31" s="9">
        <v>424769.12</v>
      </c>
      <c r="G31" s="9">
        <v>957404.21</v>
      </c>
      <c r="H31" s="9">
        <v>2250743.17</v>
      </c>
      <c r="I31" s="9">
        <v>886652</v>
      </c>
      <c r="J31" s="24" t="s">
        <v>1223</v>
      </c>
      <c r="K31" s="29"/>
    </row>
    <row r="32" ht="34" customHeight="1" spans="1:11">
      <c r="A32" s="6" t="s">
        <v>1224</v>
      </c>
      <c r="B32" s="8">
        <f>SUM(C32:I32)</f>
        <v>1304196.15</v>
      </c>
      <c r="C32" s="9"/>
      <c r="D32" s="9">
        <v>356200</v>
      </c>
      <c r="E32" s="9">
        <v>23000</v>
      </c>
      <c r="F32" s="9">
        <v>192546.81</v>
      </c>
      <c r="G32" s="9"/>
      <c r="H32" s="9">
        <v>477971.34</v>
      </c>
      <c r="I32" s="9">
        <v>254478</v>
      </c>
      <c r="J32" s="24"/>
      <c r="K32" s="29"/>
    </row>
    <row r="33" ht="34" customHeight="1" spans="1:11">
      <c r="A33" s="6" t="s">
        <v>1225</v>
      </c>
      <c r="B33" s="8">
        <f t="shared" ref="B33:B39" si="11">C33+D33+E33+F33+G33+H33+I33</f>
        <v>52770620.63</v>
      </c>
      <c r="C33" s="9">
        <v>2328128</v>
      </c>
      <c r="D33" s="9">
        <v>23787809.34</v>
      </c>
      <c r="E33" s="9">
        <v>5595765</v>
      </c>
      <c r="F33" s="9">
        <v>9039385.29</v>
      </c>
      <c r="G33" s="9">
        <v>2539017</v>
      </c>
      <c r="H33" s="9">
        <v>7024231</v>
      </c>
      <c r="I33" s="9">
        <v>2456285</v>
      </c>
      <c r="J33" s="24" t="s">
        <v>1226</v>
      </c>
      <c r="K33" s="29"/>
    </row>
    <row r="34" ht="34" customHeight="1" spans="1:11">
      <c r="A34" s="6" t="s">
        <v>1227</v>
      </c>
      <c r="B34" s="13">
        <f t="shared" si="11"/>
        <v>0</v>
      </c>
      <c r="C34" s="13">
        <v>0</v>
      </c>
      <c r="D34" s="13">
        <v>0</v>
      </c>
      <c r="E34" s="13">
        <v>0</v>
      </c>
      <c r="F34" s="13">
        <v>0</v>
      </c>
      <c r="G34" s="13">
        <v>0</v>
      </c>
      <c r="H34" s="13">
        <v>0</v>
      </c>
      <c r="I34" s="13">
        <v>0</v>
      </c>
      <c r="J34" s="9"/>
      <c r="K34" s="29"/>
    </row>
    <row r="35" ht="34" customHeight="1" spans="1:11">
      <c r="A35" s="6" t="s">
        <v>1228</v>
      </c>
      <c r="B35" s="8">
        <f t="shared" si="11"/>
        <v>354214.591999995</v>
      </c>
      <c r="C35" s="8">
        <f t="shared" ref="C35:J35" si="12">SUM(C36)</f>
        <v>2099.99999999849</v>
      </c>
      <c r="D35" s="8">
        <f t="shared" si="12"/>
        <v>73969.9535999931</v>
      </c>
      <c r="E35" s="8">
        <f t="shared" si="12"/>
        <v>3.14321368932724e-9</v>
      </c>
      <c r="F35" s="8">
        <f t="shared" si="12"/>
        <v>16192.6084000011</v>
      </c>
      <c r="G35" s="8">
        <f t="shared" si="12"/>
        <v>3474.84000000288</v>
      </c>
      <c r="H35" s="8">
        <f t="shared" si="12"/>
        <v>258477.189999999</v>
      </c>
      <c r="I35" s="8">
        <f t="shared" si="12"/>
        <v>-3.0267983675e-9</v>
      </c>
      <c r="J35" s="9">
        <f t="shared" si="12"/>
        <v>0</v>
      </c>
      <c r="K35" s="29"/>
    </row>
    <row r="36" ht="34" customHeight="1" spans="1:11">
      <c r="A36" s="6" t="s">
        <v>1229</v>
      </c>
      <c r="B36" s="8">
        <f t="shared" si="11"/>
        <v>354214.591999995</v>
      </c>
      <c r="C36" s="8">
        <v>2099.99999999849</v>
      </c>
      <c r="D36" s="8">
        <v>73969.9535999931</v>
      </c>
      <c r="E36" s="8">
        <v>3.14321368932724e-9</v>
      </c>
      <c r="F36" s="8">
        <v>16192.6084000011</v>
      </c>
      <c r="G36" s="8">
        <v>3474.84000000288</v>
      </c>
      <c r="H36" s="8">
        <v>258477.189999999</v>
      </c>
      <c r="I36" s="8">
        <v>-3.0267983675e-9</v>
      </c>
      <c r="J36" s="9"/>
      <c r="K36" s="29"/>
    </row>
    <row r="37" ht="34" customHeight="1" spans="1:11">
      <c r="A37" s="10" t="s">
        <v>1230</v>
      </c>
      <c r="B37" s="11">
        <f t="shared" si="11"/>
        <v>33291375.852</v>
      </c>
      <c r="C37" s="15">
        <f t="shared" ref="C37:I37" si="13">C7-C29</f>
        <v>3436678.99</v>
      </c>
      <c r="D37" s="15">
        <f t="shared" si="13"/>
        <v>6388662.7936</v>
      </c>
      <c r="E37" s="15">
        <f t="shared" si="13"/>
        <v>4681797.2</v>
      </c>
      <c r="F37" s="15">
        <f t="shared" si="13"/>
        <v>2462801.3984</v>
      </c>
      <c r="G37" s="15">
        <f t="shared" si="13"/>
        <v>5720727.61</v>
      </c>
      <c r="H37" s="15">
        <f t="shared" si="13"/>
        <v>5688735.38</v>
      </c>
      <c r="I37" s="15">
        <f t="shared" si="13"/>
        <v>4911972.48</v>
      </c>
      <c r="J37" s="15"/>
      <c r="K37" s="29"/>
    </row>
    <row r="38" ht="34" customHeight="1" spans="1:11">
      <c r="A38" s="16" t="s">
        <v>1231</v>
      </c>
      <c r="B38" s="17">
        <f t="shared" si="11"/>
        <v>26054300.97</v>
      </c>
      <c r="C38" s="17">
        <v>2722710.36</v>
      </c>
      <c r="D38" s="17">
        <v>5686012.84</v>
      </c>
      <c r="E38" s="17">
        <v>3651251.63</v>
      </c>
      <c r="F38" s="17">
        <v>1969951.6</v>
      </c>
      <c r="G38" s="17">
        <v>4484536.86</v>
      </c>
      <c r="H38" s="17">
        <v>4707893.84</v>
      </c>
      <c r="I38" s="17">
        <v>2831943.84</v>
      </c>
      <c r="J38" s="27" t="s">
        <v>1232</v>
      </c>
      <c r="K38" s="29"/>
    </row>
    <row r="39" ht="34" customHeight="1" spans="1:11">
      <c r="A39" s="16" t="s">
        <v>1233</v>
      </c>
      <c r="B39" s="17">
        <f t="shared" si="11"/>
        <v>6882860.29</v>
      </c>
      <c r="C39" s="17">
        <f>C13-C31</f>
        <v>711868.63</v>
      </c>
      <c r="D39" s="17">
        <v>628680</v>
      </c>
      <c r="E39" s="17">
        <v>1030545.57</v>
      </c>
      <c r="F39" s="17">
        <v>476657.19</v>
      </c>
      <c r="G39" s="17">
        <v>1232715.91</v>
      </c>
      <c r="H39" s="17">
        <v>722364.35</v>
      </c>
      <c r="I39" s="17">
        <v>2080028.64</v>
      </c>
      <c r="J39" s="26" t="s">
        <v>1234</v>
      </c>
      <c r="K39" s="29"/>
    </row>
    <row r="40" ht="36" customHeight="1" spans="1:11">
      <c r="A40" s="18" t="s">
        <v>1235</v>
      </c>
      <c r="B40" s="17"/>
      <c r="C40" s="17"/>
      <c r="D40" s="17"/>
      <c r="E40" s="17"/>
      <c r="F40" s="17"/>
      <c r="G40" s="17"/>
      <c r="H40" s="17"/>
      <c r="I40" s="17"/>
      <c r="J40" s="17"/>
      <c r="K40" s="29"/>
    </row>
    <row r="41" ht="48" customHeight="1" spans="1:11">
      <c r="A41" s="19" t="s">
        <v>1236</v>
      </c>
      <c r="B41" s="5">
        <f>C41+D41+E41+F41+G41+H41+I41</f>
        <v>80740116.882</v>
      </c>
      <c r="C41" s="7">
        <f t="shared" ref="C41:I41" si="14">C14+C15</f>
        <v>11617491.65</v>
      </c>
      <c r="D41" s="7">
        <f t="shared" si="14"/>
        <v>12876827.4036</v>
      </c>
      <c r="E41" s="7">
        <f t="shared" si="14"/>
        <v>14165362.1</v>
      </c>
      <c r="F41" s="7">
        <f t="shared" si="14"/>
        <v>10290556.6784</v>
      </c>
      <c r="G41" s="7">
        <f t="shared" si="14"/>
        <v>9046836.01</v>
      </c>
      <c r="H41" s="7">
        <f t="shared" si="14"/>
        <v>12870778.82</v>
      </c>
      <c r="I41" s="7">
        <f t="shared" si="14"/>
        <v>9872264.22</v>
      </c>
      <c r="J41" s="24"/>
      <c r="K41" s="23"/>
    </row>
    <row r="43" customHeight="1" spans="1:1">
      <c r="A43" s="20" t="s">
        <v>1237</v>
      </c>
    </row>
  </sheetData>
  <mergeCells count="3">
    <mergeCell ref="A2:K2"/>
    <mergeCell ref="K5:K22"/>
    <mergeCell ref="K23:K40"/>
  </mergeCells>
  <printOptions horizontalCentered="1"/>
  <pageMargins left="0.751388888888889" right="0.751388888888889" top="1" bottom="1" header="0.5" footer="0.5"/>
  <pageSetup paperSize="9" scale="36" fitToHeight="0" orientation="portrait" horizontalDpi="600"/>
  <headerFooter>
    <oddFooter>&amp;C第 &amp;P 页，共 &amp;N 页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8"/>
  <sheetViews>
    <sheetView workbookViewId="0">
      <selection activeCell="L9" sqref="L8:L9"/>
    </sheetView>
  </sheetViews>
  <sheetFormatPr defaultColWidth="9" defaultRowHeight="14.25"/>
  <cols>
    <col min="1" max="1" width="7.375" customWidth="1"/>
    <col min="2" max="2" width="17.625" customWidth="1"/>
    <col min="3" max="8" width="12.875" customWidth="1"/>
  </cols>
  <sheetData>
    <row r="1" ht="24" customHeight="1" spans="1:1">
      <c r="A1" s="286" t="s">
        <v>3</v>
      </c>
    </row>
    <row r="2" ht="53.25" customHeight="1" spans="1:8">
      <c r="A2" s="188" t="s">
        <v>37</v>
      </c>
      <c r="B2" s="52"/>
      <c r="C2" s="145"/>
      <c r="D2" s="145"/>
      <c r="E2" s="145"/>
      <c r="F2" s="144"/>
      <c r="G2" s="145"/>
      <c r="H2" s="144"/>
    </row>
    <row r="3" ht="15" customHeight="1" spans="1:8">
      <c r="A3" s="48"/>
      <c r="B3" s="48"/>
      <c r="C3" s="289"/>
      <c r="D3" s="289"/>
      <c r="E3" s="289"/>
      <c r="F3" s="359" t="s">
        <v>38</v>
      </c>
      <c r="G3" s="291"/>
      <c r="H3" s="359"/>
    </row>
    <row r="4" ht="30" customHeight="1" spans="1:8">
      <c r="A4" s="198" t="s">
        <v>39</v>
      </c>
      <c r="B4" s="292" t="s">
        <v>40</v>
      </c>
      <c r="C4" s="150" t="s">
        <v>41</v>
      </c>
      <c r="D4" s="150" t="s">
        <v>42</v>
      </c>
      <c r="E4" s="150" t="s">
        <v>43</v>
      </c>
      <c r="F4" s="149" t="s">
        <v>44</v>
      </c>
      <c r="G4" s="150" t="s">
        <v>45</v>
      </c>
      <c r="H4" s="149" t="s">
        <v>46</v>
      </c>
    </row>
    <row r="5" ht="27" customHeight="1" spans="1:8">
      <c r="A5" s="292" t="s">
        <v>47</v>
      </c>
      <c r="B5" s="292"/>
      <c r="C5" s="153">
        <f>C6+C21</f>
        <v>87966</v>
      </c>
      <c r="D5" s="153">
        <f>D6+D21</f>
        <v>91274</v>
      </c>
      <c r="E5" s="153">
        <f>E6+E21</f>
        <v>91738</v>
      </c>
      <c r="F5" s="172">
        <f>E5/D5</f>
        <v>1.00508359445187</v>
      </c>
      <c r="G5" s="199">
        <f>G6+G21</f>
        <v>81450</v>
      </c>
      <c r="H5" s="172">
        <f>E5/G5-1</f>
        <v>0.126310620012277</v>
      </c>
    </row>
    <row r="6" ht="27" customHeight="1" spans="1:8">
      <c r="A6" s="360">
        <v>101</v>
      </c>
      <c r="B6" s="360" t="s">
        <v>48</v>
      </c>
      <c r="C6" s="199">
        <f>SUM(C7:C20)</f>
        <v>67734</v>
      </c>
      <c r="D6" s="199">
        <f>SUM(D7:D20)</f>
        <v>64170</v>
      </c>
      <c r="E6" s="199">
        <f>SUM(E7:E20)</f>
        <v>57694</v>
      </c>
      <c r="F6" s="172">
        <f>E6/D6</f>
        <v>0.89908056724326</v>
      </c>
      <c r="G6" s="199">
        <f>SUM(G7:G20)</f>
        <v>62081</v>
      </c>
      <c r="H6" s="172">
        <f>E6/G6-1</f>
        <v>-0.0706657431420241</v>
      </c>
    </row>
    <row r="7" ht="27" customHeight="1" spans="1:10">
      <c r="A7" s="295">
        <v>10101</v>
      </c>
      <c r="B7" s="296" t="s">
        <v>49</v>
      </c>
      <c r="C7" s="199">
        <v>31589</v>
      </c>
      <c r="D7" s="297">
        <v>22320</v>
      </c>
      <c r="E7" s="153">
        <v>16828</v>
      </c>
      <c r="F7" s="172">
        <f>E7/D7</f>
        <v>0.753942652329749</v>
      </c>
      <c r="G7" s="153">
        <v>27702</v>
      </c>
      <c r="H7" s="172">
        <f>E7/G7-1</f>
        <v>-0.392534835029962</v>
      </c>
      <c r="I7" s="361"/>
      <c r="J7" s="362"/>
    </row>
    <row r="8" ht="27" customHeight="1" spans="1:10">
      <c r="A8" s="295">
        <v>10104</v>
      </c>
      <c r="B8" s="296" t="s">
        <v>50</v>
      </c>
      <c r="C8" s="199">
        <v>3529</v>
      </c>
      <c r="D8" s="297">
        <v>6400</v>
      </c>
      <c r="E8" s="153">
        <v>6379</v>
      </c>
      <c r="F8" s="172">
        <f>E8/D8</f>
        <v>0.99671875</v>
      </c>
      <c r="G8" s="153">
        <v>3201</v>
      </c>
      <c r="H8" s="172">
        <f>E8/G8-1</f>
        <v>0.992814745392065</v>
      </c>
      <c r="I8" s="361"/>
      <c r="J8" s="362"/>
    </row>
    <row r="9" ht="27" customHeight="1" spans="1:10">
      <c r="A9" s="295">
        <v>10106</v>
      </c>
      <c r="B9" s="296" t="s">
        <v>51</v>
      </c>
      <c r="C9" s="199">
        <v>1740</v>
      </c>
      <c r="D9" s="297">
        <v>2500</v>
      </c>
      <c r="E9" s="153">
        <v>2699</v>
      </c>
      <c r="F9" s="172">
        <f t="shared" ref="F9:F25" si="0">E9/D9</f>
        <v>1.0796</v>
      </c>
      <c r="G9" s="153">
        <v>1685</v>
      </c>
      <c r="H9" s="172">
        <f t="shared" ref="H9:H28" si="1">E9/G9-1</f>
        <v>0.601780415430267</v>
      </c>
      <c r="I9" s="361"/>
      <c r="J9" s="362"/>
    </row>
    <row r="10" ht="27" customHeight="1" spans="1:10">
      <c r="A10" s="295">
        <v>10107</v>
      </c>
      <c r="B10" s="296" t="s">
        <v>52</v>
      </c>
      <c r="C10" s="199">
        <v>1530</v>
      </c>
      <c r="D10" s="297">
        <v>1530</v>
      </c>
      <c r="E10" s="153">
        <v>1116</v>
      </c>
      <c r="F10" s="172">
        <f t="shared" si="0"/>
        <v>0.729411764705882</v>
      </c>
      <c r="G10" s="153">
        <v>1278</v>
      </c>
      <c r="H10" s="172">
        <f t="shared" si="1"/>
        <v>-0.126760563380282</v>
      </c>
      <c r="I10" s="361"/>
      <c r="J10" s="362"/>
    </row>
    <row r="11" ht="27" customHeight="1" spans="1:10">
      <c r="A11" s="295">
        <v>10109</v>
      </c>
      <c r="B11" s="296" t="s">
        <v>53</v>
      </c>
      <c r="C11" s="199">
        <v>4458</v>
      </c>
      <c r="D11" s="297">
        <v>3000</v>
      </c>
      <c r="E11" s="153">
        <v>2763</v>
      </c>
      <c r="F11" s="172">
        <f t="shared" si="0"/>
        <v>0.921</v>
      </c>
      <c r="G11" s="153">
        <v>4287</v>
      </c>
      <c r="H11" s="172">
        <f t="shared" si="1"/>
        <v>-0.355493351994402</v>
      </c>
      <c r="I11" s="361"/>
      <c r="J11" s="362"/>
    </row>
    <row r="12" ht="27" customHeight="1" spans="1:10">
      <c r="A12" s="295">
        <v>10110</v>
      </c>
      <c r="B12" s="296" t="s">
        <v>54</v>
      </c>
      <c r="C12" s="199">
        <v>3308</v>
      </c>
      <c r="D12" s="297">
        <v>3500</v>
      </c>
      <c r="E12" s="298">
        <v>3690</v>
      </c>
      <c r="F12" s="172">
        <f t="shared" si="0"/>
        <v>1.05428571428571</v>
      </c>
      <c r="G12" s="298">
        <v>3181</v>
      </c>
      <c r="H12" s="172">
        <f t="shared" si="1"/>
        <v>0.160012574662056</v>
      </c>
      <c r="I12" s="361"/>
      <c r="J12" s="363"/>
    </row>
    <row r="13" ht="27" customHeight="1" spans="1:10">
      <c r="A13" s="295">
        <v>10111</v>
      </c>
      <c r="B13" s="296" t="s">
        <v>55</v>
      </c>
      <c r="C13" s="199">
        <v>1759</v>
      </c>
      <c r="D13" s="297">
        <v>2300</v>
      </c>
      <c r="E13" s="298">
        <v>2574</v>
      </c>
      <c r="F13" s="172">
        <f t="shared" si="0"/>
        <v>1.11913043478261</v>
      </c>
      <c r="G13" s="298">
        <v>1691</v>
      </c>
      <c r="H13" s="172">
        <f t="shared" si="1"/>
        <v>0.522176227084565</v>
      </c>
      <c r="I13" s="361"/>
      <c r="J13" s="363"/>
    </row>
    <row r="14" ht="27" customHeight="1" spans="1:10">
      <c r="A14" s="295">
        <v>10112</v>
      </c>
      <c r="B14" s="296" t="s">
        <v>56</v>
      </c>
      <c r="C14" s="199">
        <v>2279</v>
      </c>
      <c r="D14" s="297">
        <v>2500</v>
      </c>
      <c r="E14" s="298">
        <v>2549</v>
      </c>
      <c r="F14" s="172">
        <f t="shared" si="0"/>
        <v>1.0196</v>
      </c>
      <c r="G14" s="298">
        <v>2191</v>
      </c>
      <c r="H14" s="172">
        <f t="shared" si="1"/>
        <v>0.163395709721588</v>
      </c>
      <c r="I14" s="361"/>
      <c r="J14" s="363"/>
    </row>
    <row r="15" ht="27" customHeight="1" spans="1:10">
      <c r="A15" s="295">
        <v>10113</v>
      </c>
      <c r="B15" s="296" t="s">
        <v>57</v>
      </c>
      <c r="C15" s="199">
        <v>3560</v>
      </c>
      <c r="D15" s="297">
        <v>5500</v>
      </c>
      <c r="E15" s="298">
        <v>4721</v>
      </c>
      <c r="F15" s="172">
        <f t="shared" si="0"/>
        <v>0.858363636363636</v>
      </c>
      <c r="G15" s="298">
        <v>3423</v>
      </c>
      <c r="H15" s="172">
        <f t="shared" si="1"/>
        <v>0.379199532573766</v>
      </c>
      <c r="I15" s="361"/>
      <c r="J15" s="363"/>
    </row>
    <row r="16" ht="27" customHeight="1" spans="1:10">
      <c r="A16" s="295">
        <v>10114</v>
      </c>
      <c r="B16" s="296" t="s">
        <v>58</v>
      </c>
      <c r="C16" s="199">
        <v>990</v>
      </c>
      <c r="D16" s="297">
        <v>990</v>
      </c>
      <c r="E16" s="298">
        <v>1039</v>
      </c>
      <c r="F16" s="172">
        <f t="shared" si="0"/>
        <v>1.04949494949495</v>
      </c>
      <c r="G16" s="298">
        <v>951</v>
      </c>
      <c r="H16" s="172">
        <f t="shared" si="1"/>
        <v>0.0925341745531021</v>
      </c>
      <c r="I16" s="361"/>
      <c r="J16" s="363"/>
    </row>
    <row r="17" ht="27" customHeight="1" spans="1:10">
      <c r="A17" s="295">
        <v>10118</v>
      </c>
      <c r="B17" s="296" t="s">
        <v>59</v>
      </c>
      <c r="C17" s="199">
        <v>2394</v>
      </c>
      <c r="D17" s="297">
        <v>3014</v>
      </c>
      <c r="E17" s="298">
        <v>2567</v>
      </c>
      <c r="F17" s="172">
        <f t="shared" si="0"/>
        <v>0.851692103516921</v>
      </c>
      <c r="G17" s="298">
        <v>2302</v>
      </c>
      <c r="H17" s="172">
        <f t="shared" si="1"/>
        <v>0.11511728931364</v>
      </c>
      <c r="I17" s="361"/>
      <c r="J17" s="363"/>
    </row>
    <row r="18" ht="27" customHeight="1" spans="1:10">
      <c r="A18" s="295">
        <v>10119</v>
      </c>
      <c r="B18" s="296" t="s">
        <v>60</v>
      </c>
      <c r="C18" s="199">
        <v>9994</v>
      </c>
      <c r="D18" s="297">
        <v>10000</v>
      </c>
      <c r="E18" s="298">
        <v>10141</v>
      </c>
      <c r="F18" s="172">
        <f t="shared" si="0"/>
        <v>1.0141</v>
      </c>
      <c r="G18" s="298">
        <v>9610</v>
      </c>
      <c r="H18" s="172">
        <f t="shared" si="1"/>
        <v>0.0552549427679501</v>
      </c>
      <c r="I18" s="361"/>
      <c r="J18" s="363"/>
    </row>
    <row r="19" ht="27" customHeight="1" spans="1:10">
      <c r="A19" s="295">
        <v>10120</v>
      </c>
      <c r="B19" s="299" t="s">
        <v>61</v>
      </c>
      <c r="C19" s="199">
        <v>316</v>
      </c>
      <c r="D19" s="297">
        <v>316</v>
      </c>
      <c r="E19" s="298">
        <v>334</v>
      </c>
      <c r="F19" s="172">
        <f t="shared" si="0"/>
        <v>1.05696202531646</v>
      </c>
      <c r="G19" s="298">
        <v>301</v>
      </c>
      <c r="H19" s="172">
        <f t="shared" si="1"/>
        <v>0.109634551495017</v>
      </c>
      <c r="I19" s="361"/>
      <c r="J19" s="363"/>
    </row>
    <row r="20" ht="27" customHeight="1" spans="1:10">
      <c r="A20" s="295">
        <v>10121</v>
      </c>
      <c r="B20" s="299" t="s">
        <v>62</v>
      </c>
      <c r="C20" s="199">
        <v>288</v>
      </c>
      <c r="D20" s="297">
        <v>300</v>
      </c>
      <c r="E20" s="298">
        <v>294</v>
      </c>
      <c r="F20" s="172">
        <f t="shared" si="0"/>
        <v>0.98</v>
      </c>
      <c r="G20" s="298">
        <v>278</v>
      </c>
      <c r="H20" s="172">
        <f t="shared" si="1"/>
        <v>0.0575539568345325</v>
      </c>
      <c r="I20" s="361"/>
      <c r="J20" s="363"/>
    </row>
    <row r="21" ht="27" customHeight="1" spans="1:8">
      <c r="A21" s="360">
        <v>103</v>
      </c>
      <c r="B21" s="360" t="s">
        <v>63</v>
      </c>
      <c r="C21" s="199">
        <f>SUM(C22:C28)</f>
        <v>20232</v>
      </c>
      <c r="D21" s="153">
        <f>SUM(D22:D28)</f>
        <v>27104</v>
      </c>
      <c r="E21" s="153">
        <f>SUM(E22:E28)</f>
        <v>34044</v>
      </c>
      <c r="F21" s="172">
        <f t="shared" si="0"/>
        <v>1.2560507674144</v>
      </c>
      <c r="G21" s="199">
        <f>SUM(G22:G28)</f>
        <v>19369</v>
      </c>
      <c r="H21" s="172">
        <f t="shared" si="1"/>
        <v>0.757653983168981</v>
      </c>
    </row>
    <row r="22" ht="27" customHeight="1" spans="1:8">
      <c r="A22" s="295">
        <v>10302</v>
      </c>
      <c r="B22" s="296" t="s">
        <v>64</v>
      </c>
      <c r="C22" s="199">
        <v>5023</v>
      </c>
      <c r="D22" s="297">
        <v>2623</v>
      </c>
      <c r="E22" s="298">
        <v>3007</v>
      </c>
      <c r="F22" s="172">
        <f t="shared" si="0"/>
        <v>1.14639725505147</v>
      </c>
      <c r="G22" s="298">
        <v>5285</v>
      </c>
      <c r="H22" s="172">
        <f t="shared" si="1"/>
        <v>-0.431031220435194</v>
      </c>
    </row>
    <row r="23" ht="27" customHeight="1" spans="1:8">
      <c r="A23" s="295">
        <v>10304</v>
      </c>
      <c r="B23" s="296" t="s">
        <v>65</v>
      </c>
      <c r="C23" s="199">
        <v>3200</v>
      </c>
      <c r="D23" s="297">
        <v>10333</v>
      </c>
      <c r="E23" s="298">
        <v>19037</v>
      </c>
      <c r="F23" s="172">
        <f t="shared" si="0"/>
        <v>1.84234975321785</v>
      </c>
      <c r="G23" s="298">
        <v>5152</v>
      </c>
      <c r="H23" s="172">
        <f t="shared" si="1"/>
        <v>2.6950698757764</v>
      </c>
    </row>
    <row r="24" ht="27" customHeight="1" spans="1:8">
      <c r="A24" s="295">
        <v>10305</v>
      </c>
      <c r="B24" s="296" t="s">
        <v>66</v>
      </c>
      <c r="C24" s="199">
        <v>3320</v>
      </c>
      <c r="D24" s="297">
        <v>7372</v>
      </c>
      <c r="E24" s="298">
        <v>8011</v>
      </c>
      <c r="F24" s="172">
        <f t="shared" si="0"/>
        <v>1.08667932718394</v>
      </c>
      <c r="G24" s="298">
        <v>3345</v>
      </c>
      <c r="H24" s="172">
        <f t="shared" si="1"/>
        <v>1.3949177877429</v>
      </c>
    </row>
    <row r="25" ht="27" customHeight="1" spans="1:8">
      <c r="A25" s="295">
        <v>10307</v>
      </c>
      <c r="B25" s="300" t="s">
        <v>67</v>
      </c>
      <c r="C25" s="199">
        <v>7219</v>
      </c>
      <c r="D25" s="297">
        <v>1619</v>
      </c>
      <c r="E25" s="298">
        <v>2404</v>
      </c>
      <c r="F25" s="172">
        <f t="shared" si="0"/>
        <v>1.48486720197653</v>
      </c>
      <c r="G25" s="298">
        <v>3529</v>
      </c>
      <c r="H25" s="172">
        <f t="shared" si="1"/>
        <v>-0.318787191839048</v>
      </c>
    </row>
    <row r="26" ht="27" customHeight="1" spans="1:8">
      <c r="A26" s="295">
        <v>10308</v>
      </c>
      <c r="B26" s="301" t="s">
        <v>68</v>
      </c>
      <c r="C26" s="199">
        <v>0</v>
      </c>
      <c r="D26" s="297">
        <v>0</v>
      </c>
      <c r="E26" s="298">
        <v>0</v>
      </c>
      <c r="F26" s="172">
        <v>0</v>
      </c>
      <c r="G26" s="298">
        <v>10</v>
      </c>
      <c r="H26" s="172">
        <f t="shared" si="1"/>
        <v>-1</v>
      </c>
    </row>
    <row r="27" ht="27" customHeight="1" spans="1:8">
      <c r="A27" s="295">
        <v>10309</v>
      </c>
      <c r="B27" s="301" t="s">
        <v>69</v>
      </c>
      <c r="C27" s="199">
        <v>650</v>
      </c>
      <c r="D27" s="297">
        <v>95</v>
      </c>
      <c r="E27" s="298">
        <v>347</v>
      </c>
      <c r="F27" s="172">
        <f>E27/D27</f>
        <v>3.65263157894737</v>
      </c>
      <c r="G27" s="298">
        <v>795</v>
      </c>
      <c r="H27" s="172">
        <f t="shared" si="1"/>
        <v>-0.563522012578616</v>
      </c>
    </row>
    <row r="28" ht="27" customHeight="1" spans="1:8">
      <c r="A28" s="295">
        <v>10399</v>
      </c>
      <c r="B28" s="301" t="s">
        <v>70</v>
      </c>
      <c r="C28" s="199">
        <v>820</v>
      </c>
      <c r="D28" s="297">
        <v>5062</v>
      </c>
      <c r="E28" s="298">
        <v>1238</v>
      </c>
      <c r="F28" s="172">
        <f>E28/D28</f>
        <v>0.244567364677993</v>
      </c>
      <c r="G28" s="298">
        <v>1253</v>
      </c>
      <c r="H28" s="172">
        <f t="shared" si="1"/>
        <v>-0.0119712689545092</v>
      </c>
    </row>
  </sheetData>
  <mergeCells count="3">
    <mergeCell ref="A2:H2"/>
    <mergeCell ref="F3:H3"/>
    <mergeCell ref="A5:B5"/>
  </mergeCells>
  <pageMargins left="0.551181102362205" right="0.393700787401575" top="0.62992125984252" bottom="0.748031496062992" header="0.511811023622047" footer="0.511811023622047"/>
  <pageSetup paperSize="9" scale="85" fitToHeight="0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150"/>
  <sheetViews>
    <sheetView view="pageBreakPreview" zoomScaleNormal="100" workbookViewId="0">
      <pane ySplit="6" topLeftCell="A141" activePane="bottomLeft" state="frozen"/>
      <selection/>
      <selection pane="bottomLeft" activeCell="F16" sqref="F16"/>
    </sheetView>
  </sheetViews>
  <sheetFormatPr defaultColWidth="9" defaultRowHeight="14.25"/>
  <cols>
    <col min="1" max="1" width="7.25" customWidth="1"/>
    <col min="2" max="2" width="30.75" customWidth="1"/>
    <col min="3" max="3" width="11.75" customWidth="1"/>
    <col min="4" max="4" width="15.875" customWidth="1"/>
    <col min="5" max="6" width="11.75" customWidth="1"/>
    <col min="7" max="7" width="12" customWidth="1"/>
    <col min="8" max="9" width="11.75" customWidth="1"/>
    <col min="10" max="10" width="12.625" customWidth="1"/>
    <col min="11" max="11" width="18.375" customWidth="1"/>
    <col min="12" max="12" width="12.625"/>
    <col min="13" max="13" width="11.5"/>
    <col min="16361" max="16361" width="12.625"/>
    <col min="16383" max="16383" width="12.625"/>
  </cols>
  <sheetData>
    <row r="1" ht="18" customHeight="1" spans="1:1">
      <c r="A1" s="318" t="s">
        <v>5</v>
      </c>
    </row>
    <row r="2" ht="21" customHeight="1" spans="1:11">
      <c r="A2" s="319" t="s">
        <v>6</v>
      </c>
      <c r="B2" s="319"/>
      <c r="C2" s="319"/>
      <c r="D2" s="319"/>
      <c r="E2" s="319"/>
      <c r="F2" s="319"/>
      <c r="G2" s="319"/>
      <c r="H2" s="319"/>
      <c r="I2" s="319"/>
      <c r="J2" s="343"/>
      <c r="K2" s="319"/>
    </row>
    <row r="3" ht="15" customHeight="1" spans="1:11">
      <c r="A3" s="320"/>
      <c r="B3" s="231"/>
      <c r="C3" s="306"/>
      <c r="D3" s="306"/>
      <c r="E3" s="321"/>
      <c r="F3" s="306"/>
      <c r="G3" s="322"/>
      <c r="H3" s="306"/>
      <c r="I3" s="344"/>
      <c r="K3" s="345" t="s">
        <v>38</v>
      </c>
    </row>
    <row r="4" ht="26" customHeight="1" spans="1:11">
      <c r="A4" s="323" t="s">
        <v>39</v>
      </c>
      <c r="B4" s="324" t="s">
        <v>40</v>
      </c>
      <c r="C4" s="325" t="s">
        <v>71</v>
      </c>
      <c r="D4" s="326"/>
      <c r="E4" s="326"/>
      <c r="F4" s="327" t="s">
        <v>43</v>
      </c>
      <c r="G4" s="328"/>
      <c r="H4" s="329"/>
      <c r="I4" s="329"/>
      <c r="J4" s="346"/>
      <c r="K4" s="347" t="s">
        <v>72</v>
      </c>
    </row>
    <row r="5" ht="45" customHeight="1" spans="1:11">
      <c r="A5" s="330"/>
      <c r="B5" s="331"/>
      <c r="C5" s="150" t="s">
        <v>41</v>
      </c>
      <c r="D5" s="150" t="s">
        <v>73</v>
      </c>
      <c r="E5" s="150" t="s">
        <v>74</v>
      </c>
      <c r="F5" s="150" t="s">
        <v>75</v>
      </c>
      <c r="G5" s="196" t="s">
        <v>76</v>
      </c>
      <c r="H5" s="150" t="s">
        <v>45</v>
      </c>
      <c r="I5" s="150" t="s">
        <v>77</v>
      </c>
      <c r="J5" s="150" t="s">
        <v>78</v>
      </c>
      <c r="K5" s="348"/>
    </row>
    <row r="6" ht="23" customHeight="1" spans="1:16383">
      <c r="A6" s="332" t="s">
        <v>79</v>
      </c>
      <c r="B6" s="149"/>
      <c r="C6" s="333">
        <f t="shared" ref="C6:H6" si="0">C7+C29+C36+C45+C49+C55+C72+C85+C95+C100+C108+C112+C117+C121+C123+C126+C129+C137+C144+C145+C147+C149</f>
        <v>177981.126434</v>
      </c>
      <c r="D6" s="333">
        <f t="shared" si="0"/>
        <v>172580.525817818</v>
      </c>
      <c r="E6" s="333">
        <f t="shared" si="0"/>
        <v>87741.649559</v>
      </c>
      <c r="F6" s="333">
        <f>F7+F29+F36+F45+F49+F55+F72+F85+F95+F100+F108+F112+F117+F121+F123+F126+F137+F129+F144+F145+F147+F149</f>
        <v>160259.425245</v>
      </c>
      <c r="G6" s="172">
        <f t="shared" ref="G6:G14" si="1">F6/D6</f>
        <v>0.928606657591108</v>
      </c>
      <c r="H6" s="333">
        <f>H7+H29+H36+H45+H49+H55+H72+H85+H95+H100+H108+H112+H117+H121+H123+H126+H129+H137+H144+H145+H147+H149+H134</f>
        <v>286584.942785</v>
      </c>
      <c r="I6" s="349">
        <f>(F6+J6)/H6-1</f>
        <v>-0.294810582115559</v>
      </c>
      <c r="J6" s="333">
        <f>J7+J29+J36+J45+J49+J55+J72+J85+J95+J100+J108+J112+J117+J121+J123+J126+J129+J137+J144+J145+J147+J149</f>
        <v>41837.243732</v>
      </c>
      <c r="K6" s="350"/>
      <c r="XEG6" s="82">
        <f>SUM(A6:XEF6)</f>
        <v>926985.547368894</v>
      </c>
      <c r="XFC6" s="82">
        <f>SUBTOTAL(9,A6:XFB6)</f>
        <v>1853971.09473779</v>
      </c>
    </row>
    <row r="7" ht="16" customHeight="1" spans="1:11">
      <c r="A7" s="334">
        <v>201</v>
      </c>
      <c r="B7" s="239" t="s">
        <v>80</v>
      </c>
      <c r="C7" s="333">
        <f>SUM(C8:C28)</f>
        <v>35681.461519</v>
      </c>
      <c r="D7" s="333">
        <v>33380.1986178182</v>
      </c>
      <c r="E7" s="335">
        <v>905.0966</v>
      </c>
      <c r="F7" s="335">
        <f>SUM(F8:F28)</f>
        <v>31308.31818</v>
      </c>
      <c r="G7" s="172">
        <f t="shared" si="1"/>
        <v>0.937930853511691</v>
      </c>
      <c r="H7" s="333">
        <v>42973.848084</v>
      </c>
      <c r="I7" s="349">
        <f t="shared" ref="I7:I38" si="2">(F7+J7)/H7-1</f>
        <v>-0.26435618317899</v>
      </c>
      <c r="J7" s="335">
        <v>305.127448</v>
      </c>
      <c r="K7" s="350"/>
    </row>
    <row r="8" ht="16" customHeight="1" spans="1:11">
      <c r="A8" s="336">
        <v>20101</v>
      </c>
      <c r="B8" s="240" t="s">
        <v>81</v>
      </c>
      <c r="C8" s="335">
        <v>1168.494737</v>
      </c>
      <c r="D8" s="337">
        <v>916.832377</v>
      </c>
      <c r="E8" s="335">
        <v>113.768</v>
      </c>
      <c r="F8" s="162">
        <v>934.800276</v>
      </c>
      <c r="G8" s="172">
        <f t="shared" si="1"/>
        <v>1.01959780157284</v>
      </c>
      <c r="H8" s="337">
        <v>1127.111872</v>
      </c>
      <c r="I8" s="349">
        <f t="shared" si="2"/>
        <v>-0.156688924486814</v>
      </c>
      <c r="J8" s="335">
        <v>15.705649</v>
      </c>
      <c r="K8" s="237"/>
    </row>
    <row r="9" ht="16" customHeight="1" spans="1:11">
      <c r="A9" s="336">
        <v>20102</v>
      </c>
      <c r="B9" s="240" t="s">
        <v>82</v>
      </c>
      <c r="C9" s="337">
        <v>673.342064</v>
      </c>
      <c r="D9" s="337">
        <v>805.073297</v>
      </c>
      <c r="E9" s="335">
        <v>11</v>
      </c>
      <c r="F9" s="317">
        <v>749.167314</v>
      </c>
      <c r="G9" s="172">
        <f t="shared" si="1"/>
        <v>0.930557896767504</v>
      </c>
      <c r="H9" s="337">
        <v>804.923572</v>
      </c>
      <c r="I9" s="349">
        <f t="shared" si="2"/>
        <v>-0.0692690088096959</v>
      </c>
      <c r="J9" s="335">
        <v>0</v>
      </c>
      <c r="K9" s="237"/>
    </row>
    <row r="10" ht="16" customHeight="1" spans="1:11">
      <c r="A10" s="336">
        <v>20103</v>
      </c>
      <c r="B10" s="240" t="s">
        <v>83</v>
      </c>
      <c r="C10" s="337">
        <v>14965.033155</v>
      </c>
      <c r="D10" s="337">
        <v>16108.7091308182</v>
      </c>
      <c r="E10" s="335">
        <v>0</v>
      </c>
      <c r="F10" s="317">
        <v>15968.199715</v>
      </c>
      <c r="G10" s="172">
        <f t="shared" si="1"/>
        <v>0.991277425479774</v>
      </c>
      <c r="H10" s="337">
        <v>21956.580512</v>
      </c>
      <c r="I10" s="349">
        <f t="shared" si="2"/>
        <v>-0.272737405249745</v>
      </c>
      <c r="J10" s="335">
        <v>0</v>
      </c>
      <c r="K10" s="237"/>
    </row>
    <row r="11" ht="16" customHeight="1" spans="1:11">
      <c r="A11" s="336">
        <v>20104</v>
      </c>
      <c r="B11" s="240" t="s">
        <v>84</v>
      </c>
      <c r="C11" s="337">
        <v>141.32</v>
      </c>
      <c r="D11" s="337">
        <v>145.66</v>
      </c>
      <c r="E11" s="335">
        <v>1.86</v>
      </c>
      <c r="F11" s="317">
        <v>49.34</v>
      </c>
      <c r="G11" s="172">
        <f t="shared" si="1"/>
        <v>0.338734038171083</v>
      </c>
      <c r="H11" s="337">
        <v>387.97659</v>
      </c>
      <c r="I11" s="349">
        <f t="shared" si="2"/>
        <v>-0.86803327489424</v>
      </c>
      <c r="J11" s="335">
        <v>1.86</v>
      </c>
      <c r="K11" s="237"/>
    </row>
    <row r="12" ht="16" customHeight="1" spans="1:11">
      <c r="A12" s="336">
        <v>20105</v>
      </c>
      <c r="B12" s="240" t="s">
        <v>85</v>
      </c>
      <c r="C12" s="337">
        <v>531.86228</v>
      </c>
      <c r="D12" s="337">
        <v>564.02693</v>
      </c>
      <c r="E12" s="335">
        <v>0</v>
      </c>
      <c r="F12" s="317">
        <v>554.202316</v>
      </c>
      <c r="G12" s="172">
        <f t="shared" si="1"/>
        <v>0.982581303343087</v>
      </c>
      <c r="H12" s="337">
        <v>617.120953</v>
      </c>
      <c r="I12" s="349">
        <f t="shared" si="2"/>
        <v>-0.101955113813807</v>
      </c>
      <c r="J12" s="335">
        <v>0</v>
      </c>
      <c r="K12" s="237"/>
    </row>
    <row r="13" ht="16" customHeight="1" spans="1:11">
      <c r="A13" s="336">
        <v>20106</v>
      </c>
      <c r="B13" s="240" t="s">
        <v>86</v>
      </c>
      <c r="C13" s="337">
        <v>2280.399499</v>
      </c>
      <c r="D13" s="337">
        <v>2344.32515</v>
      </c>
      <c r="E13" s="335">
        <v>52</v>
      </c>
      <c r="F13" s="317">
        <v>2138.52221</v>
      </c>
      <c r="G13" s="172">
        <f t="shared" si="1"/>
        <v>0.912212288470309</v>
      </c>
      <c r="H13" s="337">
        <v>2898.013571</v>
      </c>
      <c r="I13" s="349">
        <f t="shared" si="2"/>
        <v>-0.252411295902796</v>
      </c>
      <c r="J13" s="335">
        <v>28</v>
      </c>
      <c r="K13" s="237"/>
    </row>
    <row r="14" ht="16" customHeight="1" spans="1:11">
      <c r="A14" s="336">
        <v>20107</v>
      </c>
      <c r="B14" s="240" t="s">
        <v>87</v>
      </c>
      <c r="C14" s="337">
        <v>911.5522</v>
      </c>
      <c r="D14" s="337">
        <v>818.5925</v>
      </c>
      <c r="E14" s="335">
        <v>0</v>
      </c>
      <c r="F14" s="317">
        <v>847.546217</v>
      </c>
      <c r="G14" s="172">
        <f t="shared" si="1"/>
        <v>1.03537012249685</v>
      </c>
      <c r="H14" s="337">
        <v>747.785</v>
      </c>
      <c r="I14" s="349">
        <f t="shared" si="2"/>
        <v>0.133408957120028</v>
      </c>
      <c r="J14" s="335">
        <v>0</v>
      </c>
      <c r="K14" s="237"/>
    </row>
    <row r="15" ht="16" customHeight="1" spans="1:11">
      <c r="A15" s="336">
        <v>20108</v>
      </c>
      <c r="B15" s="240" t="s">
        <v>88</v>
      </c>
      <c r="C15" s="337">
        <v>0</v>
      </c>
      <c r="D15" s="337">
        <v>0</v>
      </c>
      <c r="E15" s="335">
        <v>0</v>
      </c>
      <c r="F15" s="317">
        <v>0</v>
      </c>
      <c r="G15" s="172">
        <v>0</v>
      </c>
      <c r="H15" s="337">
        <v>8.8</v>
      </c>
      <c r="I15" s="349">
        <f t="shared" si="2"/>
        <v>-1</v>
      </c>
      <c r="J15" s="335">
        <v>0</v>
      </c>
      <c r="K15" s="237"/>
    </row>
    <row r="16" ht="16" customHeight="1" spans="1:11">
      <c r="A16" s="336">
        <v>20110</v>
      </c>
      <c r="B16" s="240" t="s">
        <v>89</v>
      </c>
      <c r="C16" s="337">
        <v>0</v>
      </c>
      <c r="D16" s="337">
        <v>0</v>
      </c>
      <c r="E16" s="335">
        <v>0</v>
      </c>
      <c r="F16" s="317">
        <v>0</v>
      </c>
      <c r="G16" s="172">
        <v>0</v>
      </c>
      <c r="H16" s="337">
        <v>1639.125367</v>
      </c>
      <c r="I16" s="349">
        <f t="shared" si="2"/>
        <v>-1</v>
      </c>
      <c r="J16" s="335">
        <v>0</v>
      </c>
      <c r="K16" s="237"/>
    </row>
    <row r="17" ht="16" customHeight="1" spans="1:11">
      <c r="A17" s="336">
        <v>20111</v>
      </c>
      <c r="B17" s="240" t="s">
        <v>90</v>
      </c>
      <c r="C17" s="337">
        <v>1168.061021</v>
      </c>
      <c r="D17" s="337">
        <v>1509.348071</v>
      </c>
      <c r="E17" s="335">
        <v>0</v>
      </c>
      <c r="F17" s="317">
        <v>1468.744713</v>
      </c>
      <c r="G17" s="172">
        <f t="shared" ref="G17:G29" si="3">F17/D17</f>
        <v>0.973098744563871</v>
      </c>
      <c r="H17" s="337">
        <v>1469.516425</v>
      </c>
      <c r="I17" s="349">
        <f t="shared" si="2"/>
        <v>-0.00052514690334271</v>
      </c>
      <c r="J17" s="335">
        <v>0</v>
      </c>
      <c r="K17" s="237"/>
    </row>
    <row r="18" ht="16" customHeight="1" spans="1:11">
      <c r="A18" s="336">
        <v>20113</v>
      </c>
      <c r="B18" s="240" t="s">
        <v>91</v>
      </c>
      <c r="C18" s="337">
        <v>659.491232</v>
      </c>
      <c r="D18" s="337">
        <v>742.648392</v>
      </c>
      <c r="E18" s="335">
        <v>2.9286</v>
      </c>
      <c r="F18" s="317">
        <v>577.319024</v>
      </c>
      <c r="G18" s="172">
        <f t="shared" si="3"/>
        <v>0.777378676395222</v>
      </c>
      <c r="H18" s="337">
        <v>851.829427</v>
      </c>
      <c r="I18" s="349">
        <f t="shared" si="2"/>
        <v>-0.320498910165028</v>
      </c>
      <c r="J18" s="335">
        <v>1.5</v>
      </c>
      <c r="K18" s="237"/>
    </row>
    <row r="19" ht="16" customHeight="1" spans="1:11">
      <c r="A19" s="336">
        <v>20123</v>
      </c>
      <c r="B19" s="240" t="s">
        <v>92</v>
      </c>
      <c r="C19" s="337">
        <v>164.757448</v>
      </c>
      <c r="D19" s="337">
        <v>178.434981</v>
      </c>
      <c r="E19" s="335">
        <v>0</v>
      </c>
      <c r="F19" s="317">
        <v>165.762333</v>
      </c>
      <c r="G19" s="172">
        <f t="shared" si="3"/>
        <v>0.928978903525649</v>
      </c>
      <c r="H19" s="337">
        <v>201.129807</v>
      </c>
      <c r="I19" s="349">
        <f t="shared" si="2"/>
        <v>-0.175844020970994</v>
      </c>
      <c r="J19" s="335">
        <v>0</v>
      </c>
      <c r="K19" s="237"/>
    </row>
    <row r="20" ht="16" customHeight="1" spans="1:11">
      <c r="A20" s="336">
        <v>20126</v>
      </c>
      <c r="B20" s="240" t="s">
        <v>93</v>
      </c>
      <c r="C20" s="337">
        <v>193.916472</v>
      </c>
      <c r="D20" s="337">
        <v>189.802772</v>
      </c>
      <c r="E20" s="335">
        <v>0</v>
      </c>
      <c r="F20" s="317">
        <v>188.411824</v>
      </c>
      <c r="G20" s="172">
        <f t="shared" si="3"/>
        <v>0.992671613879275</v>
      </c>
      <c r="H20" s="337">
        <v>549.010256</v>
      </c>
      <c r="I20" s="349">
        <f t="shared" si="2"/>
        <v>-0.65681547486428</v>
      </c>
      <c r="J20" s="335">
        <v>0</v>
      </c>
      <c r="K20" s="237"/>
    </row>
    <row r="21" ht="16" customHeight="1" spans="1:11">
      <c r="A21" s="336">
        <v>20128</v>
      </c>
      <c r="B21" s="240" t="s">
        <v>94</v>
      </c>
      <c r="C21" s="337">
        <v>5</v>
      </c>
      <c r="D21" s="337">
        <v>11</v>
      </c>
      <c r="E21" s="335">
        <v>0</v>
      </c>
      <c r="F21" s="317">
        <v>10.91496</v>
      </c>
      <c r="G21" s="172">
        <f t="shared" si="3"/>
        <v>0.992269090909091</v>
      </c>
      <c r="H21" s="337">
        <v>7.97038</v>
      </c>
      <c r="I21" s="349">
        <f t="shared" si="2"/>
        <v>0.369440352906637</v>
      </c>
      <c r="J21" s="335">
        <v>0</v>
      </c>
      <c r="K21" s="237"/>
    </row>
    <row r="22" ht="16" customHeight="1" spans="1:11">
      <c r="A22" s="336">
        <v>20129</v>
      </c>
      <c r="B22" s="240" t="s">
        <v>95</v>
      </c>
      <c r="C22" s="337">
        <v>381.082388</v>
      </c>
      <c r="D22" s="337">
        <v>314.762888</v>
      </c>
      <c r="E22" s="137">
        <v>264.16</v>
      </c>
      <c r="F22" s="317">
        <v>314.146518</v>
      </c>
      <c r="G22" s="172">
        <f t="shared" si="3"/>
        <v>0.998041795829501</v>
      </c>
      <c r="H22" s="337">
        <v>728.066953</v>
      </c>
      <c r="I22" s="349">
        <f t="shared" si="2"/>
        <v>-0.454434354748141</v>
      </c>
      <c r="J22" s="335">
        <v>83.061799</v>
      </c>
      <c r="K22" s="237"/>
    </row>
    <row r="23" ht="16" customHeight="1" spans="1:11">
      <c r="A23" s="336">
        <v>20131</v>
      </c>
      <c r="B23" s="240" t="s">
        <v>96</v>
      </c>
      <c r="C23" s="337">
        <v>1086.466445</v>
      </c>
      <c r="D23" s="337">
        <v>1350.321497</v>
      </c>
      <c r="E23" s="335">
        <v>0</v>
      </c>
      <c r="F23" s="317">
        <v>1412.518001</v>
      </c>
      <c r="G23" s="172">
        <f t="shared" si="3"/>
        <v>1.04606051532037</v>
      </c>
      <c r="H23" s="337">
        <v>1422.823773</v>
      </c>
      <c r="I23" s="349">
        <f t="shared" si="2"/>
        <v>-0.00724318232205989</v>
      </c>
      <c r="J23" s="335">
        <v>0</v>
      </c>
      <c r="K23" s="237"/>
    </row>
    <row r="24" ht="16" customHeight="1" spans="1:11">
      <c r="A24" s="336">
        <v>20132</v>
      </c>
      <c r="B24" s="240" t="s">
        <v>97</v>
      </c>
      <c r="C24" s="337">
        <v>2207.359204</v>
      </c>
      <c r="D24" s="337">
        <v>2236.296152</v>
      </c>
      <c r="E24" s="335">
        <v>0</v>
      </c>
      <c r="F24" s="317">
        <v>2158.220464</v>
      </c>
      <c r="G24" s="172">
        <f t="shared" si="3"/>
        <v>0.965087053461066</v>
      </c>
      <c r="H24" s="337">
        <v>1194.073996</v>
      </c>
      <c r="I24" s="349">
        <f t="shared" si="2"/>
        <v>0.807442814456869</v>
      </c>
      <c r="J24" s="335">
        <v>0</v>
      </c>
      <c r="K24" s="237"/>
    </row>
    <row r="25" ht="16" customHeight="1" spans="1:11">
      <c r="A25" s="336">
        <v>20133</v>
      </c>
      <c r="B25" s="240" t="s">
        <v>98</v>
      </c>
      <c r="C25" s="337">
        <v>1037.22578</v>
      </c>
      <c r="D25" s="337">
        <v>1168.910025</v>
      </c>
      <c r="E25" s="335">
        <v>0</v>
      </c>
      <c r="F25" s="317">
        <v>1156.411476</v>
      </c>
      <c r="G25" s="172">
        <f t="shared" si="3"/>
        <v>0.989307518343852</v>
      </c>
      <c r="H25" s="337">
        <v>1640.260691</v>
      </c>
      <c r="I25" s="349">
        <f t="shared" si="2"/>
        <v>-0.294983119241257</v>
      </c>
      <c r="J25" s="335">
        <v>0</v>
      </c>
      <c r="K25" s="237"/>
    </row>
    <row r="26" ht="16" customHeight="1" spans="1:11">
      <c r="A26" s="336">
        <v>20134</v>
      </c>
      <c r="B26" s="240" t="s">
        <v>99</v>
      </c>
      <c r="C26" s="337">
        <v>717.706648</v>
      </c>
      <c r="D26" s="337">
        <v>731.557888</v>
      </c>
      <c r="E26" s="335">
        <v>12</v>
      </c>
      <c r="F26" s="317">
        <v>718.877815</v>
      </c>
      <c r="G26" s="172">
        <f t="shared" si="3"/>
        <v>0.98266702716491</v>
      </c>
      <c r="H26" s="337">
        <v>841.292447</v>
      </c>
      <c r="I26" s="349">
        <f t="shared" si="2"/>
        <v>-0.133621349390291</v>
      </c>
      <c r="J26" s="335">
        <v>10</v>
      </c>
      <c r="K26" s="237"/>
    </row>
    <row r="27" ht="16" customHeight="1" spans="1:11">
      <c r="A27" s="336">
        <v>20138</v>
      </c>
      <c r="B27" s="240" t="s">
        <v>100</v>
      </c>
      <c r="C27" s="337">
        <v>1432.965538</v>
      </c>
      <c r="D27" s="337">
        <v>1567.641838</v>
      </c>
      <c r="E27" s="137">
        <v>215</v>
      </c>
      <c r="F27" s="317">
        <v>1466.21622</v>
      </c>
      <c r="G27" s="172">
        <f t="shared" si="3"/>
        <v>0.935300516009831</v>
      </c>
      <c r="H27" s="337">
        <v>1919.569068</v>
      </c>
      <c r="I27" s="349">
        <f t="shared" si="2"/>
        <v>-0.150217490376856</v>
      </c>
      <c r="J27" s="335">
        <v>165</v>
      </c>
      <c r="K27" s="237"/>
    </row>
    <row r="28" ht="16" customHeight="1" spans="1:11">
      <c r="A28" s="336">
        <v>20199</v>
      </c>
      <c r="B28" s="240" t="s">
        <v>101</v>
      </c>
      <c r="C28" s="337">
        <v>5955.425408</v>
      </c>
      <c r="D28" s="337">
        <v>1676.254729</v>
      </c>
      <c r="E28" s="317">
        <v>232.38</v>
      </c>
      <c r="F28" s="317">
        <v>428.996784</v>
      </c>
      <c r="G28" s="172">
        <f t="shared" si="3"/>
        <v>0.255925771052664</v>
      </c>
      <c r="H28" s="337">
        <v>1925.867424</v>
      </c>
      <c r="I28" s="349">
        <f t="shared" si="2"/>
        <v>-0.777244903437341</v>
      </c>
      <c r="J28" s="335">
        <v>0</v>
      </c>
      <c r="K28" s="237"/>
    </row>
    <row r="29" ht="16" customHeight="1" spans="1:11">
      <c r="A29" s="334">
        <v>204</v>
      </c>
      <c r="B29" s="239" t="s">
        <v>102</v>
      </c>
      <c r="C29" s="333">
        <v>14070.486172</v>
      </c>
      <c r="D29" s="333">
        <v>14028.005601</v>
      </c>
      <c r="E29" s="335">
        <v>26.16</v>
      </c>
      <c r="F29" s="335">
        <f>SUM(F30:F35)</f>
        <v>12863.602756</v>
      </c>
      <c r="G29" s="172">
        <f t="shared" si="3"/>
        <v>0.916994412597255</v>
      </c>
      <c r="H29" s="333">
        <v>17137.486135</v>
      </c>
      <c r="I29" s="349">
        <f t="shared" si="2"/>
        <v>-0.249387999227694</v>
      </c>
      <c r="J29" s="335">
        <f>SUM(J30:J35)</f>
        <v>0</v>
      </c>
      <c r="K29" s="350"/>
    </row>
    <row r="30" ht="16" customHeight="1" spans="1:11">
      <c r="A30" s="336">
        <v>20401</v>
      </c>
      <c r="B30" s="240" t="s">
        <v>103</v>
      </c>
      <c r="C30" s="337">
        <v>0</v>
      </c>
      <c r="D30" s="337">
        <v>0</v>
      </c>
      <c r="E30" s="335">
        <v>0</v>
      </c>
      <c r="F30" s="317">
        <v>0</v>
      </c>
      <c r="G30" s="172">
        <v>0</v>
      </c>
      <c r="H30" s="337">
        <v>156.47</v>
      </c>
      <c r="I30" s="349">
        <f t="shared" si="2"/>
        <v>-1</v>
      </c>
      <c r="J30" s="335">
        <v>0</v>
      </c>
      <c r="K30" s="237"/>
    </row>
    <row r="31" ht="16" customHeight="1" spans="1:11">
      <c r="A31" s="336">
        <v>20402</v>
      </c>
      <c r="B31" s="240" t="s">
        <v>104</v>
      </c>
      <c r="C31" s="337">
        <v>12929.278812</v>
      </c>
      <c r="D31" s="337">
        <v>12849.787382</v>
      </c>
      <c r="E31" s="335">
        <v>0.96</v>
      </c>
      <c r="F31" s="317">
        <v>11796.848894</v>
      </c>
      <c r="G31" s="172">
        <f>F31/D31</f>
        <v>0.918057905808235</v>
      </c>
      <c r="H31" s="337">
        <v>14270.70164</v>
      </c>
      <c r="I31" s="349">
        <f t="shared" si="2"/>
        <v>-0.173351865129457</v>
      </c>
      <c r="J31" s="335">
        <v>0</v>
      </c>
      <c r="K31" s="237"/>
    </row>
    <row r="32" ht="16" customHeight="1" spans="1:11">
      <c r="A32" s="336">
        <v>20404</v>
      </c>
      <c r="B32" s="240" t="s">
        <v>105</v>
      </c>
      <c r="C32" s="337">
        <v>11.571816</v>
      </c>
      <c r="D32" s="337">
        <v>13.3516</v>
      </c>
      <c r="E32" s="335">
        <v>0</v>
      </c>
      <c r="F32" s="317">
        <v>13.3516</v>
      </c>
      <c r="G32" s="172">
        <f>F32/D32</f>
        <v>1</v>
      </c>
      <c r="H32" s="337">
        <v>342.101379</v>
      </c>
      <c r="I32" s="349">
        <f t="shared" si="2"/>
        <v>-0.960971803039707</v>
      </c>
      <c r="J32" s="335">
        <v>0</v>
      </c>
      <c r="K32" s="237"/>
    </row>
    <row r="33" ht="16" customHeight="1" spans="1:11">
      <c r="A33" s="336">
        <v>20405</v>
      </c>
      <c r="B33" s="240" t="s">
        <v>106</v>
      </c>
      <c r="C33" s="337">
        <v>77.530424</v>
      </c>
      <c r="D33" s="337">
        <v>99.004044</v>
      </c>
      <c r="E33" s="335">
        <v>0</v>
      </c>
      <c r="F33" s="317">
        <v>97.44428</v>
      </c>
      <c r="G33" s="172">
        <f>F33/D33</f>
        <v>0.984245451630239</v>
      </c>
      <c r="H33" s="337">
        <v>560.019822</v>
      </c>
      <c r="I33" s="349">
        <f t="shared" si="2"/>
        <v>-0.825998516173951</v>
      </c>
      <c r="J33" s="335">
        <v>0</v>
      </c>
      <c r="K33" s="237"/>
    </row>
    <row r="34" ht="16" customHeight="1" spans="1:11">
      <c r="A34" s="336">
        <v>20406</v>
      </c>
      <c r="B34" s="240" t="s">
        <v>107</v>
      </c>
      <c r="C34" s="337">
        <v>1052.10512</v>
      </c>
      <c r="D34" s="337">
        <v>1065.862575</v>
      </c>
      <c r="E34" s="335">
        <v>25.2</v>
      </c>
      <c r="F34" s="317">
        <v>955.957982</v>
      </c>
      <c r="G34" s="172">
        <f>F34/D34</f>
        <v>0.896886713561549</v>
      </c>
      <c r="H34" s="337">
        <v>1135.164894</v>
      </c>
      <c r="I34" s="349">
        <f t="shared" si="2"/>
        <v>-0.157868617103305</v>
      </c>
      <c r="J34" s="335">
        <v>0</v>
      </c>
      <c r="K34" s="237"/>
    </row>
    <row r="35" ht="16" customHeight="1" spans="1:11">
      <c r="A35" s="336">
        <v>20409</v>
      </c>
      <c r="B35" s="240" t="s">
        <v>108</v>
      </c>
      <c r="C35" s="337">
        <v>0</v>
      </c>
      <c r="D35" s="337">
        <v>0</v>
      </c>
      <c r="E35" s="335">
        <v>0</v>
      </c>
      <c r="F35" s="317">
        <v>0</v>
      </c>
      <c r="G35" s="172">
        <v>0</v>
      </c>
      <c r="H35" s="337">
        <v>57.5784</v>
      </c>
      <c r="I35" s="349">
        <f t="shared" si="2"/>
        <v>-1</v>
      </c>
      <c r="J35" s="335">
        <v>0</v>
      </c>
      <c r="K35" s="237"/>
    </row>
    <row r="36" ht="16" customHeight="1" spans="1:11">
      <c r="A36" s="334">
        <v>205</v>
      </c>
      <c r="B36" s="239" t="s">
        <v>109</v>
      </c>
      <c r="C36" s="333">
        <v>58704.304563</v>
      </c>
      <c r="D36" s="333">
        <v>59772.026826</v>
      </c>
      <c r="E36" s="333">
        <v>12210.196</v>
      </c>
      <c r="F36" s="335">
        <f>SUM(F37:F44)</f>
        <v>57800.923169</v>
      </c>
      <c r="G36" s="172">
        <f t="shared" ref="G36:G76" si="4">F36/D36</f>
        <v>0.967022974430196</v>
      </c>
      <c r="H36" s="333">
        <v>80618.189633</v>
      </c>
      <c r="I36" s="349">
        <f t="shared" si="2"/>
        <v>-0.21223025380362</v>
      </c>
      <c r="J36" s="333">
        <v>5707.647617</v>
      </c>
      <c r="K36" s="351"/>
    </row>
    <row r="37" ht="16" customHeight="1" spans="1:11">
      <c r="A37" s="336">
        <v>20501</v>
      </c>
      <c r="B37" s="240" t="s">
        <v>110</v>
      </c>
      <c r="C37" s="337">
        <v>1159.504317</v>
      </c>
      <c r="D37" s="337">
        <v>1269.816459</v>
      </c>
      <c r="E37" s="335"/>
      <c r="F37" s="317">
        <v>1284.677648</v>
      </c>
      <c r="G37" s="172">
        <f t="shared" si="4"/>
        <v>1.01170341500511</v>
      </c>
      <c r="H37" s="337">
        <v>1492.658515</v>
      </c>
      <c r="I37" s="349">
        <f t="shared" ref="I37:I69" si="5">(F37+J37)/H37-1</f>
        <v>-0.139335866114025</v>
      </c>
      <c r="J37" s="335">
        <v>0</v>
      </c>
      <c r="K37" s="316"/>
    </row>
    <row r="38" ht="16" customHeight="1" spans="1:11">
      <c r="A38" s="336">
        <v>20502</v>
      </c>
      <c r="B38" s="240" t="s">
        <v>111</v>
      </c>
      <c r="C38" s="337">
        <v>53064.364413</v>
      </c>
      <c r="D38" s="338">
        <v>54715.335019</v>
      </c>
      <c r="E38" s="335">
        <v>9907.496</v>
      </c>
      <c r="F38" s="317">
        <v>52583.439907</v>
      </c>
      <c r="G38" s="172">
        <f t="shared" si="4"/>
        <v>0.961036606807585</v>
      </c>
      <c r="H38" s="337">
        <v>73199.779446</v>
      </c>
      <c r="I38" s="349">
        <f t="shared" si="5"/>
        <v>-0.205652148625738</v>
      </c>
      <c r="J38" s="335">
        <v>5562.647617</v>
      </c>
      <c r="K38" s="316"/>
    </row>
    <row r="39" ht="16" customHeight="1" spans="1:11">
      <c r="A39" s="336">
        <v>20503</v>
      </c>
      <c r="B39" s="240" t="s">
        <v>112</v>
      </c>
      <c r="C39" s="337">
        <v>640.376432</v>
      </c>
      <c r="D39" s="337">
        <v>638.146932</v>
      </c>
      <c r="E39" s="335">
        <v>20</v>
      </c>
      <c r="F39" s="317">
        <v>644.04742</v>
      </c>
      <c r="G39" s="172">
        <f t="shared" si="4"/>
        <v>1.00924628436512</v>
      </c>
      <c r="H39" s="337">
        <v>821.304768</v>
      </c>
      <c r="I39" s="349">
        <f t="shared" si="5"/>
        <v>-0.215824082492116</v>
      </c>
      <c r="J39" s="335">
        <v>0</v>
      </c>
      <c r="K39" s="316"/>
    </row>
    <row r="40" ht="16" customHeight="1" spans="1:11">
      <c r="A40" s="336">
        <v>20504</v>
      </c>
      <c r="B40" s="240" t="s">
        <v>113</v>
      </c>
      <c r="C40" s="337">
        <v>0</v>
      </c>
      <c r="D40" s="337">
        <v>0</v>
      </c>
      <c r="E40" s="335">
        <v>7.2</v>
      </c>
      <c r="F40" s="317">
        <v>0</v>
      </c>
      <c r="G40" s="172" t="e">
        <f t="shared" si="4"/>
        <v>#DIV/0!</v>
      </c>
      <c r="H40" s="335">
        <v>19</v>
      </c>
      <c r="I40" s="349">
        <v>0</v>
      </c>
      <c r="J40" s="335">
        <v>0</v>
      </c>
      <c r="K40" s="316"/>
    </row>
    <row r="41" ht="16" customHeight="1" spans="1:11">
      <c r="A41" s="336">
        <v>20507</v>
      </c>
      <c r="B41" s="240" t="s">
        <v>114</v>
      </c>
      <c r="C41" s="337">
        <v>538.990615</v>
      </c>
      <c r="D41" s="337">
        <v>542.08083</v>
      </c>
      <c r="E41" s="335">
        <v>0</v>
      </c>
      <c r="F41" s="317">
        <v>540.860046</v>
      </c>
      <c r="G41" s="172">
        <f t="shared" si="4"/>
        <v>0.997747966848413</v>
      </c>
      <c r="H41" s="337">
        <v>860.071855</v>
      </c>
      <c r="I41" s="349">
        <f t="shared" si="5"/>
        <v>-0.371145512022365</v>
      </c>
      <c r="J41" s="335">
        <v>0</v>
      </c>
      <c r="K41" s="316"/>
    </row>
    <row r="42" ht="16" customHeight="1" spans="1:11">
      <c r="A42" s="336">
        <v>20508</v>
      </c>
      <c r="B42" s="240" t="s">
        <v>115</v>
      </c>
      <c r="C42" s="337">
        <v>501.069078</v>
      </c>
      <c r="D42" s="337">
        <v>506.647878</v>
      </c>
      <c r="E42" s="335">
        <v>0</v>
      </c>
      <c r="F42" s="317">
        <v>502.85484</v>
      </c>
      <c r="G42" s="172">
        <f t="shared" si="4"/>
        <v>0.992513463167016</v>
      </c>
      <c r="H42" s="337">
        <v>567.071478</v>
      </c>
      <c r="I42" s="349">
        <f t="shared" si="5"/>
        <v>-0.113242581387597</v>
      </c>
      <c r="J42" s="335">
        <v>0</v>
      </c>
      <c r="K42" s="316"/>
    </row>
    <row r="43" ht="16" customHeight="1" spans="1:11">
      <c r="A43" s="336">
        <v>20509</v>
      </c>
      <c r="B43" s="240" t="s">
        <v>116</v>
      </c>
      <c r="C43" s="337">
        <v>2799.999708</v>
      </c>
      <c r="D43" s="337">
        <v>2099.999708</v>
      </c>
      <c r="E43" s="335">
        <v>0</v>
      </c>
      <c r="F43" s="317">
        <v>2245.043308</v>
      </c>
      <c r="G43" s="172">
        <f t="shared" si="4"/>
        <v>1.06906839055618</v>
      </c>
      <c r="H43" s="337">
        <v>3212.749621</v>
      </c>
      <c r="I43" s="349">
        <f t="shared" si="5"/>
        <v>-0.301208132334568</v>
      </c>
      <c r="J43" s="335">
        <v>0</v>
      </c>
      <c r="K43" s="316"/>
    </row>
    <row r="44" ht="16" customHeight="1" spans="1:11">
      <c r="A44" s="336">
        <v>20599</v>
      </c>
      <c r="B44" s="240" t="s">
        <v>117</v>
      </c>
      <c r="C44" s="337">
        <v>0</v>
      </c>
      <c r="D44" s="337">
        <v>0</v>
      </c>
      <c r="E44" s="335">
        <v>2275.5</v>
      </c>
      <c r="F44" s="335">
        <v>0</v>
      </c>
      <c r="G44" s="172">
        <v>0</v>
      </c>
      <c r="H44" s="337">
        <v>445.55395</v>
      </c>
      <c r="I44" s="349">
        <f t="shared" si="5"/>
        <v>-0.674562418310959</v>
      </c>
      <c r="J44" s="335">
        <v>145</v>
      </c>
      <c r="K44" s="316"/>
    </row>
    <row r="45" ht="16" customHeight="1" spans="1:11">
      <c r="A45" s="334">
        <v>206</v>
      </c>
      <c r="B45" s="239" t="s">
        <v>118</v>
      </c>
      <c r="C45" s="333">
        <v>1004.980713</v>
      </c>
      <c r="D45" s="333">
        <v>1148.675861</v>
      </c>
      <c r="E45" s="335">
        <v>140</v>
      </c>
      <c r="F45" s="335">
        <f>SUM(F46:F48)</f>
        <v>1242.141604</v>
      </c>
      <c r="G45" s="172">
        <f t="shared" si="4"/>
        <v>1.08136824858375</v>
      </c>
      <c r="H45" s="333">
        <v>1358.177405</v>
      </c>
      <c r="I45" s="349">
        <f t="shared" si="5"/>
        <v>0.00590070116797436</v>
      </c>
      <c r="J45" s="335">
        <v>124.05</v>
      </c>
      <c r="K45" s="351"/>
    </row>
    <row r="46" ht="16" customHeight="1" spans="1:11">
      <c r="A46" s="336">
        <v>20601</v>
      </c>
      <c r="B46" s="240" t="s">
        <v>119</v>
      </c>
      <c r="C46" s="339">
        <v>905.980713</v>
      </c>
      <c r="D46" s="337">
        <v>1049.675861</v>
      </c>
      <c r="E46" s="335"/>
      <c r="F46" s="317">
        <v>875.978258</v>
      </c>
      <c r="G46" s="172">
        <f t="shared" si="4"/>
        <v>0.834522627933424</v>
      </c>
      <c r="H46" s="337">
        <v>928.294275</v>
      </c>
      <c r="I46" s="349">
        <f t="shared" si="5"/>
        <v>-0.0563571470910988</v>
      </c>
      <c r="J46" s="335">
        <v>0</v>
      </c>
      <c r="K46" s="316"/>
    </row>
    <row r="47" ht="16" customHeight="1" spans="1:11">
      <c r="A47" s="336">
        <v>20604</v>
      </c>
      <c r="B47" s="240" t="s">
        <v>120</v>
      </c>
      <c r="C47" s="339">
        <v>99</v>
      </c>
      <c r="D47" s="337">
        <v>99</v>
      </c>
      <c r="E47" s="335">
        <v>122</v>
      </c>
      <c r="F47" s="317">
        <v>366.163346</v>
      </c>
      <c r="G47" s="172">
        <f t="shared" si="4"/>
        <v>3.69861965656566</v>
      </c>
      <c r="H47" s="337">
        <v>429.88313</v>
      </c>
      <c r="I47" s="349">
        <f t="shared" si="5"/>
        <v>0.130919806041237</v>
      </c>
      <c r="J47" s="335">
        <v>120</v>
      </c>
      <c r="K47" s="316"/>
    </row>
    <row r="48" ht="16" customHeight="1" spans="1:11">
      <c r="A48" s="336">
        <v>20607</v>
      </c>
      <c r="B48" s="240" t="s">
        <v>121</v>
      </c>
      <c r="C48" s="339">
        <v>0</v>
      </c>
      <c r="D48" s="337">
        <v>0</v>
      </c>
      <c r="E48" s="317">
        <v>18</v>
      </c>
      <c r="F48" s="335">
        <v>0</v>
      </c>
      <c r="G48" s="172">
        <v>0</v>
      </c>
      <c r="H48" s="337">
        <v>0</v>
      </c>
      <c r="I48" s="349">
        <v>0</v>
      </c>
      <c r="J48" s="335">
        <v>4.05</v>
      </c>
      <c r="K48" s="316"/>
    </row>
    <row r="49" ht="16" customHeight="1" spans="1:11">
      <c r="A49" s="334">
        <v>207</v>
      </c>
      <c r="B49" s="239" t="s">
        <v>122</v>
      </c>
      <c r="C49" s="340">
        <v>1114.849408</v>
      </c>
      <c r="D49" s="333">
        <v>1950.201721</v>
      </c>
      <c r="E49" s="335">
        <f>SUM(E50:E54)</f>
        <v>988.21</v>
      </c>
      <c r="F49" s="335">
        <f>SUM(F50:F54)</f>
        <v>1233.93767</v>
      </c>
      <c r="G49" s="172">
        <f t="shared" si="4"/>
        <v>0.632723095622784</v>
      </c>
      <c r="H49" s="333">
        <v>4533.204571</v>
      </c>
      <c r="I49" s="349">
        <f t="shared" si="5"/>
        <v>-0.684740576866413</v>
      </c>
      <c r="J49" s="335">
        <f>SUM(J50:J54)</f>
        <v>195.197788</v>
      </c>
      <c r="K49" s="350"/>
    </row>
    <row r="50" ht="16" customHeight="1" spans="1:11">
      <c r="A50" s="336">
        <v>20701</v>
      </c>
      <c r="B50" s="240" t="s">
        <v>123</v>
      </c>
      <c r="C50" s="341">
        <v>810.758224</v>
      </c>
      <c r="D50" s="337">
        <v>1437.330811</v>
      </c>
      <c r="E50" s="335">
        <v>686.86</v>
      </c>
      <c r="F50" s="317">
        <v>830.969968</v>
      </c>
      <c r="G50" s="172">
        <f t="shared" si="4"/>
        <v>0.578134109169945</v>
      </c>
      <c r="H50" s="337">
        <v>3394.103822</v>
      </c>
      <c r="I50" s="349">
        <f t="shared" si="5"/>
        <v>-0.728110377762039</v>
      </c>
      <c r="J50" s="335">
        <v>91.851638</v>
      </c>
      <c r="K50" s="237"/>
    </row>
    <row r="51" ht="16" customHeight="1" spans="1:11">
      <c r="A51" s="336">
        <v>20702</v>
      </c>
      <c r="B51" s="240" t="s">
        <v>124</v>
      </c>
      <c r="C51" s="339">
        <v>72.724896</v>
      </c>
      <c r="D51" s="337">
        <v>72.724896</v>
      </c>
      <c r="E51" s="335">
        <v>80</v>
      </c>
      <c r="F51" s="317">
        <v>170.724896</v>
      </c>
      <c r="G51" s="172">
        <f t="shared" si="4"/>
        <v>2.34754403773915</v>
      </c>
      <c r="H51" s="337">
        <v>405.325648</v>
      </c>
      <c r="I51" s="349">
        <f t="shared" si="5"/>
        <v>-0.487732500954393</v>
      </c>
      <c r="J51" s="335">
        <v>36.91026</v>
      </c>
      <c r="K51" s="316"/>
    </row>
    <row r="52" ht="16" customHeight="1" spans="1:11">
      <c r="A52" s="336">
        <v>20703</v>
      </c>
      <c r="B52" s="240" t="s">
        <v>125</v>
      </c>
      <c r="C52" s="342">
        <v>47.335832</v>
      </c>
      <c r="D52" s="337">
        <v>49.708732</v>
      </c>
      <c r="E52" s="335">
        <v>83.45</v>
      </c>
      <c r="F52" s="317">
        <v>46.505315</v>
      </c>
      <c r="G52" s="172">
        <f t="shared" si="4"/>
        <v>0.935556251967964</v>
      </c>
      <c r="H52" s="337">
        <v>65.687123</v>
      </c>
      <c r="I52" s="349">
        <f t="shared" si="5"/>
        <v>0.71938120961699</v>
      </c>
      <c r="J52" s="335">
        <v>66.43589</v>
      </c>
      <c r="K52" s="237"/>
    </row>
    <row r="53" ht="16" customHeight="1" spans="1:11">
      <c r="A53" s="336">
        <v>20708</v>
      </c>
      <c r="B53" s="225" t="s">
        <v>126</v>
      </c>
      <c r="C53" s="342">
        <v>53.613096</v>
      </c>
      <c r="D53" s="337">
        <v>53.613096</v>
      </c>
      <c r="E53" s="335">
        <v>0</v>
      </c>
      <c r="F53" s="317">
        <v>51.613896</v>
      </c>
      <c r="G53" s="172">
        <f t="shared" si="4"/>
        <v>0.962710603394365</v>
      </c>
      <c r="H53" s="337">
        <v>201.5968</v>
      </c>
      <c r="I53" s="349">
        <f t="shared" si="5"/>
        <v>-0.743974626581374</v>
      </c>
      <c r="J53" s="335">
        <v>0</v>
      </c>
      <c r="K53" s="237"/>
    </row>
    <row r="54" ht="16" customHeight="1" spans="1:11">
      <c r="A54" s="336">
        <v>20799</v>
      </c>
      <c r="B54" s="240" t="s">
        <v>127</v>
      </c>
      <c r="C54" s="342">
        <v>130.41736</v>
      </c>
      <c r="D54" s="337">
        <v>336.824186</v>
      </c>
      <c r="E54" s="335">
        <v>137.9</v>
      </c>
      <c r="F54" s="317">
        <v>134.123595</v>
      </c>
      <c r="G54" s="172">
        <f t="shared" si="4"/>
        <v>0.398200606057428</v>
      </c>
      <c r="H54" s="337">
        <v>466.491178</v>
      </c>
      <c r="I54" s="349">
        <f t="shared" si="5"/>
        <v>-0.712484176924778</v>
      </c>
      <c r="J54" s="335">
        <v>0</v>
      </c>
      <c r="K54" s="237"/>
    </row>
    <row r="55" ht="16" customHeight="1" spans="1:11">
      <c r="A55" s="334">
        <v>208</v>
      </c>
      <c r="B55" s="239" t="s">
        <v>128</v>
      </c>
      <c r="C55" s="333">
        <f>21711.930091+3.21</f>
        <v>21715.140091</v>
      </c>
      <c r="D55" s="333">
        <v>14238.561004</v>
      </c>
      <c r="E55" s="335">
        <v>10263.274515</v>
      </c>
      <c r="F55" s="335">
        <f>SUM(F56:F71)</f>
        <v>13224.984927</v>
      </c>
      <c r="G55" s="172">
        <f t="shared" si="4"/>
        <v>0.92881471121167</v>
      </c>
      <c r="H55" s="333">
        <v>29013.013301</v>
      </c>
      <c r="I55" s="349">
        <f t="shared" si="5"/>
        <v>-0.226191391597846</v>
      </c>
      <c r="J55" s="335">
        <v>9225.534521</v>
      </c>
      <c r="K55" s="350"/>
    </row>
    <row r="56" ht="16" customHeight="1" spans="1:11">
      <c r="A56" s="336">
        <v>20801</v>
      </c>
      <c r="B56" s="240" t="s">
        <v>129</v>
      </c>
      <c r="C56" s="337">
        <v>282.119043</v>
      </c>
      <c r="D56" s="337">
        <v>277.836087</v>
      </c>
      <c r="E56" s="335">
        <v>72.3102</v>
      </c>
      <c r="F56" s="317">
        <v>268.391877</v>
      </c>
      <c r="G56" s="172">
        <f t="shared" si="4"/>
        <v>0.966007979373824</v>
      </c>
      <c r="H56" s="337">
        <v>284.629394</v>
      </c>
      <c r="I56" s="349">
        <f t="shared" si="5"/>
        <v>-0.0570479273830726</v>
      </c>
      <c r="J56" s="335">
        <v>0</v>
      </c>
      <c r="K56" s="237"/>
    </row>
    <row r="57" ht="16" customHeight="1" spans="1:11">
      <c r="A57" s="336">
        <v>20802</v>
      </c>
      <c r="B57" s="240" t="s">
        <v>130</v>
      </c>
      <c r="C57" s="337">
        <v>2708.10004</v>
      </c>
      <c r="D57" s="337">
        <v>1483.615233</v>
      </c>
      <c r="E57" s="335">
        <v>708.8039</v>
      </c>
      <c r="F57" s="317">
        <v>1128.506405</v>
      </c>
      <c r="G57" s="172">
        <f t="shared" si="4"/>
        <v>0.760646278023218</v>
      </c>
      <c r="H57" s="337">
        <v>3814.608695</v>
      </c>
      <c r="I57" s="349">
        <f t="shared" si="5"/>
        <v>-0.616547719057721</v>
      </c>
      <c r="J57" s="335">
        <v>334.214</v>
      </c>
      <c r="K57" s="237"/>
    </row>
    <row r="58" ht="16" customHeight="1" spans="1:11">
      <c r="A58" s="336">
        <v>20805</v>
      </c>
      <c r="B58" s="240" t="s">
        <v>131</v>
      </c>
      <c r="C58" s="337">
        <v>12066.714704</v>
      </c>
      <c r="D58" s="337">
        <v>7000.143461</v>
      </c>
      <c r="E58" s="335">
        <v>1399</v>
      </c>
      <c r="F58" s="317">
        <v>8030.638443</v>
      </c>
      <c r="G58" s="172">
        <f t="shared" si="4"/>
        <v>1.147210551861</v>
      </c>
      <c r="H58" s="337">
        <v>11411.953387</v>
      </c>
      <c r="I58" s="349">
        <f t="shared" si="5"/>
        <v>-0.173705138531162</v>
      </c>
      <c r="J58" s="335">
        <v>1399</v>
      </c>
      <c r="K58" s="237"/>
    </row>
    <row r="59" ht="16" customHeight="1" spans="1:11">
      <c r="A59" s="336">
        <v>20806</v>
      </c>
      <c r="B59" s="240" t="s">
        <v>132</v>
      </c>
      <c r="C59" s="337">
        <v>170.7606</v>
      </c>
      <c r="D59" s="337">
        <v>170.7606</v>
      </c>
      <c r="E59" s="335">
        <v>0</v>
      </c>
      <c r="F59" s="317">
        <v>146.312673</v>
      </c>
      <c r="G59" s="172">
        <f t="shared" si="4"/>
        <v>0.856829227585286</v>
      </c>
      <c r="H59" s="337">
        <v>181.51114</v>
      </c>
      <c r="I59" s="349">
        <f t="shared" si="5"/>
        <v>-0.193919045409555</v>
      </c>
      <c r="J59" s="335">
        <v>0</v>
      </c>
      <c r="K59" s="237"/>
    </row>
    <row r="60" ht="40" customHeight="1" spans="1:11">
      <c r="A60" s="336">
        <v>20807</v>
      </c>
      <c r="B60" s="240" t="s">
        <v>133</v>
      </c>
      <c r="C60" s="337">
        <f>462.6476+3.21</f>
        <v>465.8576</v>
      </c>
      <c r="D60" s="337">
        <v>464.406</v>
      </c>
      <c r="E60" s="335">
        <v>1794</v>
      </c>
      <c r="F60" s="317">
        <v>407.7918</v>
      </c>
      <c r="G60" s="172">
        <f t="shared" si="4"/>
        <v>0.878093306288033</v>
      </c>
      <c r="H60" s="337">
        <v>1952.4462</v>
      </c>
      <c r="I60" s="349">
        <f t="shared" si="5"/>
        <v>0.127709332016421</v>
      </c>
      <c r="J60" s="335">
        <v>1794</v>
      </c>
      <c r="K60" s="352" t="s">
        <v>134</v>
      </c>
    </row>
    <row r="61" ht="16" customHeight="1" spans="1:11">
      <c r="A61" s="336">
        <v>20808</v>
      </c>
      <c r="B61" s="240" t="s">
        <v>135</v>
      </c>
      <c r="C61" s="337">
        <v>444.48072</v>
      </c>
      <c r="D61" s="337">
        <v>387.60852</v>
      </c>
      <c r="E61" s="335">
        <v>1700.73885</v>
      </c>
      <c r="F61" s="317">
        <v>278.349809</v>
      </c>
      <c r="G61" s="172">
        <f t="shared" si="4"/>
        <v>0.718120976804122</v>
      </c>
      <c r="H61" s="337">
        <v>2050.64282</v>
      </c>
      <c r="I61" s="349">
        <f t="shared" si="5"/>
        <v>-0.172483968222218</v>
      </c>
      <c r="J61" s="335">
        <v>1418.59</v>
      </c>
      <c r="K61" s="237"/>
    </row>
    <row r="62" ht="16" customHeight="1" spans="1:11">
      <c r="A62" s="336">
        <v>20809</v>
      </c>
      <c r="B62" s="240" t="s">
        <v>136</v>
      </c>
      <c r="C62" s="337">
        <v>398.1268</v>
      </c>
      <c r="D62" s="337">
        <v>334.0128</v>
      </c>
      <c r="E62" s="335">
        <v>131.4913</v>
      </c>
      <c r="F62" s="317">
        <v>357.6968</v>
      </c>
      <c r="G62" s="172">
        <f t="shared" si="4"/>
        <v>1.07090746222899</v>
      </c>
      <c r="H62" s="337">
        <v>338.844</v>
      </c>
      <c r="I62" s="349">
        <f t="shared" si="5"/>
        <v>0.405499303514302</v>
      </c>
      <c r="J62" s="335">
        <v>118.548206</v>
      </c>
      <c r="K62" s="237"/>
    </row>
    <row r="63" ht="16" customHeight="1" spans="1:11">
      <c r="A63" s="336">
        <v>20810</v>
      </c>
      <c r="B63" s="240" t="s">
        <v>137</v>
      </c>
      <c r="C63" s="337">
        <v>627.3116</v>
      </c>
      <c r="D63" s="337">
        <v>518.3116</v>
      </c>
      <c r="E63" s="335">
        <v>504.917</v>
      </c>
      <c r="F63" s="317">
        <v>451.955032</v>
      </c>
      <c r="G63" s="172">
        <f t="shared" si="4"/>
        <v>0.87197552977784</v>
      </c>
      <c r="H63" s="337">
        <v>826.2686</v>
      </c>
      <c r="I63" s="349">
        <f t="shared" si="5"/>
        <v>0.126824899312403</v>
      </c>
      <c r="J63" s="335">
        <v>479.105</v>
      </c>
      <c r="K63" s="237"/>
    </row>
    <row r="64" ht="16" customHeight="1" spans="1:11">
      <c r="A64" s="336">
        <v>20811</v>
      </c>
      <c r="B64" s="240" t="s">
        <v>138</v>
      </c>
      <c r="C64" s="337">
        <v>349.176016</v>
      </c>
      <c r="D64" s="337">
        <v>347.623168</v>
      </c>
      <c r="E64" s="335">
        <v>340.9955</v>
      </c>
      <c r="F64" s="317">
        <v>310.800627</v>
      </c>
      <c r="G64" s="172">
        <f t="shared" si="4"/>
        <v>0.894073397892743</v>
      </c>
      <c r="H64" s="337">
        <v>680.974755</v>
      </c>
      <c r="I64" s="349">
        <f t="shared" si="5"/>
        <v>-0.0741732048495689</v>
      </c>
      <c r="J64" s="335">
        <v>319.664048</v>
      </c>
      <c r="K64" s="237"/>
    </row>
    <row r="65" ht="16" customHeight="1" spans="1:11">
      <c r="A65" s="336">
        <v>20819</v>
      </c>
      <c r="B65" s="240" t="s">
        <v>139</v>
      </c>
      <c r="C65" s="337">
        <v>2234.4476</v>
      </c>
      <c r="D65" s="337">
        <v>634.4476</v>
      </c>
      <c r="E65" s="335">
        <v>2493</v>
      </c>
      <c r="F65" s="317">
        <v>535.7929</v>
      </c>
      <c r="G65" s="172">
        <f t="shared" si="4"/>
        <v>0.844502997568278</v>
      </c>
      <c r="H65" s="337">
        <v>3604.488488</v>
      </c>
      <c r="I65" s="349">
        <f t="shared" si="5"/>
        <v>-0.207583153751496</v>
      </c>
      <c r="J65" s="335">
        <v>2320.4645</v>
      </c>
      <c r="K65" s="237"/>
    </row>
    <row r="66" ht="16" customHeight="1" spans="1:11">
      <c r="A66" s="336">
        <v>20820</v>
      </c>
      <c r="B66" s="240" t="s">
        <v>140</v>
      </c>
      <c r="C66" s="337">
        <v>35</v>
      </c>
      <c r="D66" s="337">
        <v>29</v>
      </c>
      <c r="E66" s="335">
        <v>189.780121</v>
      </c>
      <c r="F66" s="317">
        <v>0.281525</v>
      </c>
      <c r="G66" s="172">
        <f t="shared" si="4"/>
        <v>0.00970775862068966</v>
      </c>
      <c r="H66" s="337">
        <v>216.666682</v>
      </c>
      <c r="I66" s="349">
        <f t="shared" si="5"/>
        <v>-0.167281622007762</v>
      </c>
      <c r="J66" s="335">
        <v>180.140803</v>
      </c>
      <c r="K66" s="237"/>
    </row>
    <row r="67" ht="16" customHeight="1" spans="1:11">
      <c r="A67" s="336">
        <v>20821</v>
      </c>
      <c r="B67" s="240" t="s">
        <v>141</v>
      </c>
      <c r="C67" s="337">
        <v>1565.5772</v>
      </c>
      <c r="D67" s="337">
        <v>579.5772</v>
      </c>
      <c r="E67" s="335">
        <v>810.139879</v>
      </c>
      <c r="F67" s="317">
        <v>482.905711</v>
      </c>
      <c r="G67" s="172">
        <f t="shared" si="4"/>
        <v>0.833203430017606</v>
      </c>
      <c r="H67" s="337">
        <v>1079.111</v>
      </c>
      <c r="I67" s="349">
        <f t="shared" si="5"/>
        <v>0.198250773090071</v>
      </c>
      <c r="J67" s="335">
        <v>810.139879</v>
      </c>
      <c r="K67" s="237"/>
    </row>
    <row r="68" ht="16" customHeight="1" spans="1:11">
      <c r="A68" s="336">
        <v>20825</v>
      </c>
      <c r="B68" s="240" t="s">
        <v>142</v>
      </c>
      <c r="C68" s="337">
        <v>23.39568</v>
      </c>
      <c r="D68" s="337">
        <v>18.39568</v>
      </c>
      <c r="E68" s="335">
        <v>39.8892</v>
      </c>
      <c r="F68" s="317">
        <v>12.83998</v>
      </c>
      <c r="G68" s="172">
        <f t="shared" si="4"/>
        <v>0.697988875649066</v>
      </c>
      <c r="H68" s="337">
        <v>50.22868</v>
      </c>
      <c r="I68" s="349">
        <f t="shared" si="5"/>
        <v>-0.0751383472549944</v>
      </c>
      <c r="J68" s="335">
        <v>33.6146</v>
      </c>
      <c r="K68" s="237"/>
    </row>
    <row r="69" ht="16" customHeight="1" spans="1:11">
      <c r="A69" s="336">
        <v>20826</v>
      </c>
      <c r="B69" s="240" t="s">
        <v>143</v>
      </c>
      <c r="C69" s="337">
        <v>0</v>
      </c>
      <c r="D69" s="337">
        <v>1662</v>
      </c>
      <c r="E69" s="335">
        <v>0</v>
      </c>
      <c r="F69" s="317">
        <v>425</v>
      </c>
      <c r="G69" s="172">
        <f t="shared" si="4"/>
        <v>0.255716004813478</v>
      </c>
      <c r="H69" s="337">
        <v>2054.783319</v>
      </c>
      <c r="I69" s="349">
        <f t="shared" si="5"/>
        <v>-0.79316553912515</v>
      </c>
      <c r="J69" s="335">
        <v>0</v>
      </c>
      <c r="K69" s="237"/>
    </row>
    <row r="70" ht="16" customHeight="1" spans="1:11">
      <c r="A70" s="336">
        <v>20828</v>
      </c>
      <c r="B70" s="240" t="s">
        <v>144</v>
      </c>
      <c r="C70" s="337">
        <v>316.604488</v>
      </c>
      <c r="D70" s="337">
        <v>329.17859</v>
      </c>
      <c r="E70" s="335">
        <v>0</v>
      </c>
      <c r="F70" s="317">
        <v>386.42488</v>
      </c>
      <c r="G70" s="172">
        <f t="shared" si="4"/>
        <v>1.17390648036982</v>
      </c>
      <c r="H70" s="337">
        <v>368.932068</v>
      </c>
      <c r="I70" s="349">
        <f t="shared" ref="I70:I91" si="6">(F70+J70)/H70-1</f>
        <v>0.0474147235148992</v>
      </c>
      <c r="J70" s="335">
        <v>0</v>
      </c>
      <c r="K70" s="237"/>
    </row>
    <row r="71" ht="16" customHeight="1" spans="1:11">
      <c r="A71" s="336">
        <v>20899</v>
      </c>
      <c r="B71" s="240" t="s">
        <v>145</v>
      </c>
      <c r="C71" s="337">
        <v>27.468</v>
      </c>
      <c r="D71" s="337">
        <v>1.644465</v>
      </c>
      <c r="E71" s="335">
        <v>78.208565</v>
      </c>
      <c r="F71" s="317">
        <v>1.296465</v>
      </c>
      <c r="G71" s="172">
        <f t="shared" si="4"/>
        <v>0.788381023615583</v>
      </c>
      <c r="H71" s="337">
        <v>96.924073</v>
      </c>
      <c r="I71" s="349">
        <f t="shared" si="6"/>
        <v>-0.800359710430246</v>
      </c>
      <c r="J71" s="335">
        <v>18.053485</v>
      </c>
      <c r="K71" s="237"/>
    </row>
    <row r="72" ht="16" customHeight="1" spans="1:11">
      <c r="A72" s="334">
        <v>210</v>
      </c>
      <c r="B72" s="239" t="s">
        <v>146</v>
      </c>
      <c r="C72" s="333">
        <v>15274.244169</v>
      </c>
      <c r="D72" s="333">
        <v>16097.779514</v>
      </c>
      <c r="E72" s="335">
        <v>4964.06774</v>
      </c>
      <c r="F72" s="335">
        <f>SUM(F73:F84)</f>
        <v>14475.212959</v>
      </c>
      <c r="G72" s="172">
        <f t="shared" si="4"/>
        <v>0.899205567228146</v>
      </c>
      <c r="H72" s="333">
        <v>22951.434599</v>
      </c>
      <c r="I72" s="349">
        <f t="shared" si="6"/>
        <v>-0.190336312144529</v>
      </c>
      <c r="J72" s="335">
        <v>4107.73022</v>
      </c>
      <c r="K72" s="350"/>
    </row>
    <row r="73" ht="16" customHeight="1" spans="1:11">
      <c r="A73" s="336">
        <v>21001</v>
      </c>
      <c r="B73" s="240" t="s">
        <v>147</v>
      </c>
      <c r="C73" s="337">
        <v>2036.659244</v>
      </c>
      <c r="D73" s="337">
        <v>2307.909384</v>
      </c>
      <c r="E73" s="335">
        <v>0</v>
      </c>
      <c r="F73" s="317">
        <v>1877.595499</v>
      </c>
      <c r="G73" s="172">
        <f t="shared" si="4"/>
        <v>0.813548188683997</v>
      </c>
      <c r="H73" s="337">
        <v>3061.182054</v>
      </c>
      <c r="I73" s="349">
        <f t="shared" si="6"/>
        <v>-0.386643634426585</v>
      </c>
      <c r="J73" s="335">
        <v>0</v>
      </c>
      <c r="K73" s="237"/>
    </row>
    <row r="74" ht="16" customHeight="1" spans="1:11">
      <c r="A74" s="336">
        <v>21002</v>
      </c>
      <c r="B74" s="240" t="s">
        <v>148</v>
      </c>
      <c r="C74" s="337">
        <v>1724.725429</v>
      </c>
      <c r="D74" s="337">
        <v>1888.851825</v>
      </c>
      <c r="E74" s="335">
        <v>238</v>
      </c>
      <c r="F74" s="317">
        <v>2082.095985</v>
      </c>
      <c r="G74" s="172">
        <f t="shared" si="4"/>
        <v>1.10230773925318</v>
      </c>
      <c r="H74" s="337">
        <v>3214.908547</v>
      </c>
      <c r="I74" s="349">
        <f t="shared" si="6"/>
        <v>-0.278332197920528</v>
      </c>
      <c r="J74" s="335">
        <v>238</v>
      </c>
      <c r="K74" s="237"/>
    </row>
    <row r="75" ht="16" customHeight="1" spans="1:11">
      <c r="A75" s="336">
        <v>21003</v>
      </c>
      <c r="B75" s="240" t="s">
        <v>149</v>
      </c>
      <c r="C75" s="337">
        <v>3587.929648</v>
      </c>
      <c r="D75" s="337">
        <v>3757.227502</v>
      </c>
      <c r="E75" s="335">
        <v>687.2</v>
      </c>
      <c r="F75" s="317">
        <v>3740.754853</v>
      </c>
      <c r="G75" s="172">
        <f t="shared" si="4"/>
        <v>0.995615743525982</v>
      </c>
      <c r="H75" s="337">
        <v>3946.660074</v>
      </c>
      <c r="I75" s="349">
        <f t="shared" si="6"/>
        <v>0.104693759090639</v>
      </c>
      <c r="J75" s="335">
        <v>619.0959</v>
      </c>
      <c r="K75" s="237"/>
    </row>
    <row r="76" ht="16" customHeight="1" spans="1:11">
      <c r="A76" s="336">
        <v>21004</v>
      </c>
      <c r="B76" s="240" t="s">
        <v>150</v>
      </c>
      <c r="C76" s="337">
        <v>2436.276524</v>
      </c>
      <c r="D76" s="337">
        <v>2494.370237</v>
      </c>
      <c r="E76" s="335">
        <v>2642.962848</v>
      </c>
      <c r="F76" s="317">
        <v>1431.556973</v>
      </c>
      <c r="G76" s="172">
        <f t="shared" si="4"/>
        <v>0.573915191804784</v>
      </c>
      <c r="H76" s="337">
        <v>5783.689608</v>
      </c>
      <c r="I76" s="349">
        <f t="shared" si="6"/>
        <v>-0.335898433123523</v>
      </c>
      <c r="J76" s="335">
        <v>2409.400358</v>
      </c>
      <c r="K76" s="237"/>
    </row>
    <row r="77" ht="16" customHeight="1" spans="1:11">
      <c r="A77" s="336">
        <v>21006</v>
      </c>
      <c r="B77" s="240" t="s">
        <v>151</v>
      </c>
      <c r="C77" s="337">
        <v>0</v>
      </c>
      <c r="D77" s="337">
        <v>0</v>
      </c>
      <c r="E77" s="335">
        <v>1</v>
      </c>
      <c r="F77" s="317">
        <v>0</v>
      </c>
      <c r="G77" s="172">
        <v>0</v>
      </c>
      <c r="H77" s="337">
        <v>1</v>
      </c>
      <c r="I77" s="349">
        <v>0</v>
      </c>
      <c r="J77" s="335">
        <v>1</v>
      </c>
      <c r="K77" s="237"/>
    </row>
    <row r="78" ht="16" customHeight="1" spans="1:11">
      <c r="A78" s="336">
        <v>21007</v>
      </c>
      <c r="B78" s="240" t="s">
        <v>152</v>
      </c>
      <c r="C78" s="337">
        <v>1152.6347</v>
      </c>
      <c r="D78" s="337">
        <v>901.1307</v>
      </c>
      <c r="E78" s="335">
        <v>651.538</v>
      </c>
      <c r="F78" s="317">
        <v>743.838094</v>
      </c>
      <c r="G78" s="172">
        <f>F78/D78</f>
        <v>0.82544973109894</v>
      </c>
      <c r="H78" s="337">
        <v>1751.514293</v>
      </c>
      <c r="I78" s="349">
        <f t="shared" si="6"/>
        <v>-0.463413973978915</v>
      </c>
      <c r="J78" s="335">
        <v>196</v>
      </c>
      <c r="K78" s="237"/>
    </row>
    <row r="79" ht="16" customHeight="1" spans="1:11">
      <c r="A79" s="336">
        <v>21011</v>
      </c>
      <c r="B79" s="240" t="s">
        <v>153</v>
      </c>
      <c r="C79" s="337">
        <v>3366.802408</v>
      </c>
      <c r="D79" s="337">
        <v>3749.942958</v>
      </c>
      <c r="E79" s="335">
        <v>0</v>
      </c>
      <c r="F79" s="317">
        <v>3692.430039</v>
      </c>
      <c r="G79" s="172">
        <f>F79/D79</f>
        <v>0.984662988305648</v>
      </c>
      <c r="H79" s="337">
        <v>3197.181973</v>
      </c>
      <c r="I79" s="349">
        <f t="shared" si="6"/>
        <v>0.154901432005541</v>
      </c>
      <c r="J79" s="335">
        <v>0</v>
      </c>
      <c r="K79" s="237"/>
    </row>
    <row r="80" ht="16" customHeight="1" spans="1:11">
      <c r="A80" s="336">
        <v>21012</v>
      </c>
      <c r="B80" s="240" t="s">
        <v>154</v>
      </c>
      <c r="C80" s="337">
        <v>704.111184</v>
      </c>
      <c r="D80" s="337">
        <v>704.111184</v>
      </c>
      <c r="E80" s="335">
        <v>0</v>
      </c>
      <c r="F80" s="317">
        <v>673.388436</v>
      </c>
      <c r="G80" s="172">
        <f>F80/D80</f>
        <v>0.956366624052942</v>
      </c>
      <c r="H80" s="337">
        <v>637.69398</v>
      </c>
      <c r="I80" s="349">
        <f t="shared" si="6"/>
        <v>0.0559742715463614</v>
      </c>
      <c r="J80" s="335">
        <v>0</v>
      </c>
      <c r="K80" s="237"/>
    </row>
    <row r="81" ht="16" customHeight="1" spans="1:11">
      <c r="A81" s="336">
        <v>21013</v>
      </c>
      <c r="B81" s="240" t="s">
        <v>155</v>
      </c>
      <c r="C81" s="337">
        <v>0</v>
      </c>
      <c r="D81" s="337">
        <v>0</v>
      </c>
      <c r="E81" s="335">
        <v>586.030892</v>
      </c>
      <c r="F81" s="317">
        <v>0</v>
      </c>
      <c r="G81" s="172">
        <v>0</v>
      </c>
      <c r="H81" s="337">
        <v>1073.372</v>
      </c>
      <c r="I81" s="349">
        <f t="shared" si="6"/>
        <v>-0.490783923001532</v>
      </c>
      <c r="J81" s="335">
        <v>546.578279</v>
      </c>
      <c r="K81" s="237"/>
    </row>
    <row r="82" ht="16" customHeight="1" spans="1:11">
      <c r="A82" s="336">
        <v>21014</v>
      </c>
      <c r="B82" s="240" t="s">
        <v>156</v>
      </c>
      <c r="C82" s="337">
        <v>61.454</v>
      </c>
      <c r="D82" s="337">
        <v>61.454</v>
      </c>
      <c r="E82" s="335">
        <v>112.28</v>
      </c>
      <c r="F82" s="317">
        <v>11.122</v>
      </c>
      <c r="G82" s="172">
        <f>F82/D82</f>
        <v>0.180980896280144</v>
      </c>
      <c r="H82" s="337">
        <v>78.97</v>
      </c>
      <c r="I82" s="349">
        <v>0</v>
      </c>
      <c r="J82" s="335">
        <v>52.599683</v>
      </c>
      <c r="K82" s="237"/>
    </row>
    <row r="83" ht="16" customHeight="1" spans="1:11">
      <c r="A83" s="336">
        <v>21015</v>
      </c>
      <c r="B83" s="240" t="s">
        <v>157</v>
      </c>
      <c r="C83" s="337">
        <v>203.651032</v>
      </c>
      <c r="D83" s="337">
        <v>232.781724</v>
      </c>
      <c r="E83" s="335">
        <v>6</v>
      </c>
      <c r="F83" s="317">
        <v>222.43108</v>
      </c>
      <c r="G83" s="172">
        <f>F83/D83</f>
        <v>0.955534980057111</v>
      </c>
      <c r="H83" s="337">
        <v>184.26207</v>
      </c>
      <c r="I83" s="349">
        <f t="shared" si="6"/>
        <v>0.239707553486184</v>
      </c>
      <c r="J83" s="335">
        <v>6</v>
      </c>
      <c r="K83" s="237"/>
    </row>
    <row r="84" ht="16" customHeight="1" spans="1:11">
      <c r="A84" s="336">
        <v>21099</v>
      </c>
      <c r="B84" s="240" t="s">
        <v>158</v>
      </c>
      <c r="C84" s="337">
        <v>0</v>
      </c>
      <c r="D84" s="337">
        <v>0</v>
      </c>
      <c r="E84" s="335">
        <v>39.056</v>
      </c>
      <c r="F84" s="335">
        <v>0</v>
      </c>
      <c r="G84" s="172">
        <v>0</v>
      </c>
      <c r="H84" s="337">
        <v>21</v>
      </c>
      <c r="I84" s="349">
        <v>0</v>
      </c>
      <c r="J84" s="335">
        <v>39.056</v>
      </c>
      <c r="K84" s="237"/>
    </row>
    <row r="85" ht="16" customHeight="1" spans="1:11">
      <c r="A85" s="334">
        <v>211</v>
      </c>
      <c r="B85" s="239" t="s">
        <v>159</v>
      </c>
      <c r="C85" s="333">
        <v>428.39</v>
      </c>
      <c r="D85" s="333">
        <v>151.4623</v>
      </c>
      <c r="E85" s="335">
        <v>4412.38</v>
      </c>
      <c r="F85" s="335">
        <f>SUM(F86:F94)</f>
        <v>43.35538</v>
      </c>
      <c r="G85" s="172">
        <f>F85/D85</f>
        <v>0.286245356105117</v>
      </c>
      <c r="H85" s="333">
        <v>3295.411378</v>
      </c>
      <c r="I85" s="349">
        <f t="shared" si="6"/>
        <v>-0.434691063933081</v>
      </c>
      <c r="J85" s="335">
        <v>1819.57012</v>
      </c>
      <c r="K85" s="350"/>
    </row>
    <row r="86" ht="16" customHeight="1" spans="1:11">
      <c r="A86" s="336">
        <v>21101</v>
      </c>
      <c r="B86" s="240" t="s">
        <v>160</v>
      </c>
      <c r="C86" s="337">
        <v>4</v>
      </c>
      <c r="D86" s="337">
        <v>33.5123</v>
      </c>
      <c r="E86" s="335">
        <v>285</v>
      </c>
      <c r="F86" s="317">
        <v>33.5123</v>
      </c>
      <c r="G86" s="172">
        <f>F86/D86</f>
        <v>1</v>
      </c>
      <c r="H86" s="337">
        <v>625.43861</v>
      </c>
      <c r="I86" s="349">
        <f t="shared" si="6"/>
        <v>-0.946417922615938</v>
      </c>
      <c r="J86" s="335">
        <v>0</v>
      </c>
      <c r="K86" s="237"/>
    </row>
    <row r="87" ht="16" customHeight="1" spans="1:11">
      <c r="A87" s="336">
        <v>21103</v>
      </c>
      <c r="B87" s="240" t="s">
        <v>161</v>
      </c>
      <c r="C87" s="337">
        <v>0</v>
      </c>
      <c r="D87" s="337">
        <v>8.96</v>
      </c>
      <c r="E87" s="335">
        <v>628.06</v>
      </c>
      <c r="F87" s="317">
        <v>8.96</v>
      </c>
      <c r="G87" s="172">
        <f>F87/D87</f>
        <v>1</v>
      </c>
      <c r="H87" s="337">
        <v>367</v>
      </c>
      <c r="I87" s="349">
        <v>0</v>
      </c>
      <c r="J87" s="335">
        <v>43.08</v>
      </c>
      <c r="K87" s="237"/>
    </row>
    <row r="88" ht="16" customHeight="1" spans="1:11">
      <c r="A88" s="336">
        <v>21104</v>
      </c>
      <c r="B88" s="240" t="s">
        <v>162</v>
      </c>
      <c r="C88" s="337">
        <v>0</v>
      </c>
      <c r="D88" s="337">
        <v>0</v>
      </c>
      <c r="E88" s="335">
        <v>800</v>
      </c>
      <c r="F88" s="317">
        <v>0</v>
      </c>
      <c r="G88" s="172">
        <v>0</v>
      </c>
      <c r="H88" s="337">
        <v>7.27</v>
      </c>
      <c r="I88" s="349">
        <v>0</v>
      </c>
      <c r="J88" s="335">
        <v>0</v>
      </c>
      <c r="K88" s="237"/>
    </row>
    <row r="89" ht="16" customHeight="1" spans="1:11">
      <c r="A89" s="336">
        <v>21105</v>
      </c>
      <c r="B89" s="240" t="s">
        <v>163</v>
      </c>
      <c r="C89" s="337">
        <v>415</v>
      </c>
      <c r="D89" s="337">
        <v>99.6</v>
      </c>
      <c r="E89" s="335">
        <v>420.25</v>
      </c>
      <c r="F89" s="317">
        <v>0</v>
      </c>
      <c r="G89" s="172">
        <f>F89/D89</f>
        <v>0</v>
      </c>
      <c r="H89" s="337">
        <v>443.8</v>
      </c>
      <c r="I89" s="349">
        <f t="shared" si="6"/>
        <v>-0.0530644434429923</v>
      </c>
      <c r="J89" s="335">
        <v>420.25</v>
      </c>
      <c r="K89" s="237"/>
    </row>
    <row r="90" ht="16" customHeight="1" spans="1:11">
      <c r="A90" s="336">
        <v>21106</v>
      </c>
      <c r="B90" s="240" t="s">
        <v>164</v>
      </c>
      <c r="C90" s="337">
        <v>9.39</v>
      </c>
      <c r="D90" s="337">
        <v>9.39</v>
      </c>
      <c r="E90" s="335">
        <v>1158.63</v>
      </c>
      <c r="F90" s="317">
        <v>0.88308</v>
      </c>
      <c r="G90" s="172">
        <f>F90/D90</f>
        <v>0.0940447284345048</v>
      </c>
      <c r="H90" s="337">
        <v>505.832168</v>
      </c>
      <c r="I90" s="349">
        <f t="shared" si="6"/>
        <v>1.28669363708794</v>
      </c>
      <c r="J90" s="335">
        <v>1155.80012</v>
      </c>
      <c r="K90" s="237"/>
    </row>
    <row r="91" ht="16" customHeight="1" spans="1:11">
      <c r="A91" s="336">
        <v>21107</v>
      </c>
      <c r="B91" s="240" t="s">
        <v>165</v>
      </c>
      <c r="C91" s="337">
        <v>0</v>
      </c>
      <c r="D91" s="337">
        <v>0</v>
      </c>
      <c r="E91" s="335">
        <v>120</v>
      </c>
      <c r="F91" s="335">
        <v>0</v>
      </c>
      <c r="G91" s="172">
        <v>0</v>
      </c>
      <c r="H91" s="337">
        <v>0</v>
      </c>
      <c r="I91" s="349">
        <v>0</v>
      </c>
      <c r="J91" s="335">
        <v>0</v>
      </c>
      <c r="K91" s="237"/>
    </row>
    <row r="92" ht="16" customHeight="1" spans="1:11">
      <c r="A92" s="336">
        <v>21111</v>
      </c>
      <c r="B92" s="240" t="s">
        <v>166</v>
      </c>
      <c r="C92" s="337">
        <v>0</v>
      </c>
      <c r="D92" s="337">
        <v>0</v>
      </c>
      <c r="E92" s="335">
        <v>100.14</v>
      </c>
      <c r="F92" s="335">
        <v>0</v>
      </c>
      <c r="G92" s="172">
        <v>0</v>
      </c>
      <c r="H92" s="337">
        <v>200.0706</v>
      </c>
      <c r="I92" s="349">
        <f>(F92+J92)/H92-1</f>
        <v>-0.49947668473029</v>
      </c>
      <c r="J92" s="335">
        <v>100.14</v>
      </c>
      <c r="K92" s="237"/>
    </row>
    <row r="93" ht="16" customHeight="1" spans="1:11">
      <c r="A93" s="336">
        <v>21113</v>
      </c>
      <c r="B93" s="240" t="s">
        <v>167</v>
      </c>
      <c r="C93" s="337">
        <v>0</v>
      </c>
      <c r="D93" s="337">
        <v>0</v>
      </c>
      <c r="E93" s="335">
        <v>100</v>
      </c>
      <c r="F93" s="335">
        <v>0</v>
      </c>
      <c r="G93" s="172">
        <v>0</v>
      </c>
      <c r="H93" s="337">
        <v>0</v>
      </c>
      <c r="I93" s="349">
        <v>0</v>
      </c>
      <c r="J93" s="335">
        <v>100</v>
      </c>
      <c r="K93" s="237"/>
    </row>
    <row r="94" ht="16" customHeight="1" spans="1:11">
      <c r="A94" s="336">
        <v>21199</v>
      </c>
      <c r="B94" s="240" t="s">
        <v>168</v>
      </c>
      <c r="C94" s="337">
        <v>0</v>
      </c>
      <c r="D94" s="337">
        <v>0</v>
      </c>
      <c r="E94" s="335">
        <v>800.3</v>
      </c>
      <c r="F94" s="335">
        <v>0</v>
      </c>
      <c r="G94" s="172">
        <v>0</v>
      </c>
      <c r="H94" s="337">
        <v>1146</v>
      </c>
      <c r="I94" s="349">
        <f>(F94+J94)/H94-1</f>
        <v>-0.999738219895288</v>
      </c>
      <c r="J94" s="335">
        <v>0.3</v>
      </c>
      <c r="K94" s="237"/>
    </row>
    <row r="95" ht="16" customHeight="1" spans="1:11">
      <c r="A95" s="334">
        <v>212</v>
      </c>
      <c r="B95" s="239" t="s">
        <v>169</v>
      </c>
      <c r="C95" s="333">
        <v>4257.899067</v>
      </c>
      <c r="D95" s="333">
        <v>4477.307419</v>
      </c>
      <c r="E95" s="333">
        <v>577.75</v>
      </c>
      <c r="F95" s="335">
        <f>SUM(F96:F99)</f>
        <v>3718.10585</v>
      </c>
      <c r="G95" s="172">
        <f>F95/D95</f>
        <v>0.83043345074358</v>
      </c>
      <c r="H95" s="333">
        <v>9385.465793</v>
      </c>
      <c r="I95" s="349">
        <f>(F95+J95)/H95-1</f>
        <v>-0.60376438079678</v>
      </c>
      <c r="J95" s="333">
        <v>0.75</v>
      </c>
      <c r="K95" s="350"/>
    </row>
    <row r="96" ht="16" customHeight="1" spans="1:11">
      <c r="A96" s="336">
        <v>21201</v>
      </c>
      <c r="B96" s="240" t="s">
        <v>170</v>
      </c>
      <c r="C96" s="337">
        <v>3877.899067</v>
      </c>
      <c r="D96" s="337">
        <v>4045.557419</v>
      </c>
      <c r="E96" s="335">
        <v>0</v>
      </c>
      <c r="F96" s="317">
        <v>3610.91585</v>
      </c>
      <c r="G96" s="172">
        <f>F96/D96</f>
        <v>0.892563243087664</v>
      </c>
      <c r="H96" s="337">
        <v>4614.928359</v>
      </c>
      <c r="I96" s="349">
        <f>(F96+J96)/H96-1</f>
        <v>-0.217557550387967</v>
      </c>
      <c r="J96" s="335">
        <v>0</v>
      </c>
      <c r="K96" s="237"/>
    </row>
    <row r="97" ht="16" customHeight="1" spans="1:11">
      <c r="A97" s="336">
        <v>21203</v>
      </c>
      <c r="B97" s="240" t="s">
        <v>171</v>
      </c>
      <c r="C97" s="337">
        <v>380</v>
      </c>
      <c r="D97" s="337">
        <v>381.75</v>
      </c>
      <c r="E97" s="335">
        <v>535.75</v>
      </c>
      <c r="F97" s="317">
        <v>82.75</v>
      </c>
      <c r="G97" s="172">
        <f>F97/D97</f>
        <v>0.216764898493779</v>
      </c>
      <c r="H97" s="337">
        <v>4440.695434</v>
      </c>
      <c r="I97" s="349">
        <f>(F97+J97)/H97-1</f>
        <v>-0.981196638850599</v>
      </c>
      <c r="J97" s="335">
        <v>0.75</v>
      </c>
      <c r="K97" s="237"/>
    </row>
    <row r="98" ht="16" customHeight="1" spans="1:11">
      <c r="A98" s="336">
        <v>21205</v>
      </c>
      <c r="B98" s="240" t="s">
        <v>172</v>
      </c>
      <c r="C98" s="337">
        <v>0</v>
      </c>
      <c r="D98" s="337">
        <v>50</v>
      </c>
      <c r="E98" s="335">
        <v>42</v>
      </c>
      <c r="F98" s="317">
        <v>24.44</v>
      </c>
      <c r="G98" s="172">
        <f>F98/D98</f>
        <v>0.4888</v>
      </c>
      <c r="H98" s="337">
        <v>142</v>
      </c>
      <c r="I98" s="349">
        <f>(F98+J98)/H98-1</f>
        <v>-0.827887323943662</v>
      </c>
      <c r="J98" s="335">
        <v>0</v>
      </c>
      <c r="K98" s="237"/>
    </row>
    <row r="99" ht="16" customHeight="1" spans="1:11">
      <c r="A99" s="336">
        <v>21299</v>
      </c>
      <c r="B99" s="240" t="s">
        <v>173</v>
      </c>
      <c r="C99" s="337">
        <v>0</v>
      </c>
      <c r="D99" s="337">
        <v>0</v>
      </c>
      <c r="E99" s="335">
        <v>0</v>
      </c>
      <c r="F99" s="335">
        <v>0</v>
      </c>
      <c r="G99" s="172">
        <v>0</v>
      </c>
      <c r="H99" s="337">
        <v>187.842</v>
      </c>
      <c r="I99" s="349">
        <f t="shared" ref="I99:I136" si="7">(F99+J99)/H99-1</f>
        <v>-1</v>
      </c>
      <c r="J99" s="335">
        <v>0</v>
      </c>
      <c r="K99" s="237"/>
    </row>
    <row r="100" ht="16" customHeight="1" spans="1:11">
      <c r="A100" s="334">
        <v>213</v>
      </c>
      <c r="B100" s="239" t="s">
        <v>174</v>
      </c>
      <c r="C100" s="333">
        <v>6722.680778</v>
      </c>
      <c r="D100" s="333">
        <v>9759.958058</v>
      </c>
      <c r="E100" s="335">
        <v>39064.09</v>
      </c>
      <c r="F100" s="335">
        <f>SUM(F101:F107)</f>
        <v>9663.268578</v>
      </c>
      <c r="G100" s="172">
        <f t="shared" ref="G99:G130" si="8">F100/D100</f>
        <v>0.990093248410966</v>
      </c>
      <c r="H100" s="333">
        <v>46399.779174</v>
      </c>
      <c r="I100" s="349">
        <f t="shared" si="7"/>
        <v>-0.517469079733341</v>
      </c>
      <c r="J100" s="335">
        <v>12726.059567</v>
      </c>
      <c r="K100" s="350"/>
    </row>
    <row r="101" ht="16" customHeight="1" spans="1:11">
      <c r="A101" s="336">
        <v>21301</v>
      </c>
      <c r="B101" s="240" t="s">
        <v>175</v>
      </c>
      <c r="C101" s="337">
        <v>4115.135076</v>
      </c>
      <c r="D101" s="337">
        <v>4355.127778</v>
      </c>
      <c r="E101" s="335">
        <v>22849.83</v>
      </c>
      <c r="F101" s="317">
        <v>4651.68962</v>
      </c>
      <c r="G101" s="172">
        <f t="shared" si="8"/>
        <v>1.06809486589534</v>
      </c>
      <c r="H101" s="337">
        <v>23516.305339</v>
      </c>
      <c r="I101" s="349">
        <f t="shared" si="7"/>
        <v>-0.622021122456731</v>
      </c>
      <c r="J101" s="335">
        <v>4236.977076</v>
      </c>
      <c r="K101" s="237"/>
    </row>
    <row r="102" ht="16" customHeight="1" spans="1:11">
      <c r="A102" s="336">
        <v>21302</v>
      </c>
      <c r="B102" s="240" t="s">
        <v>176</v>
      </c>
      <c r="C102" s="337">
        <v>466.252629</v>
      </c>
      <c r="D102" s="337">
        <v>580.458154</v>
      </c>
      <c r="E102" s="335">
        <v>3114</v>
      </c>
      <c r="F102" s="317">
        <v>483.570845</v>
      </c>
      <c r="G102" s="172">
        <f t="shared" si="8"/>
        <v>0.833084765314538</v>
      </c>
      <c r="H102" s="337">
        <v>2179.560535</v>
      </c>
      <c r="I102" s="349">
        <f t="shared" si="7"/>
        <v>-0.443038636685537</v>
      </c>
      <c r="J102" s="335">
        <v>730.360162</v>
      </c>
      <c r="K102" s="237"/>
    </row>
    <row r="103" ht="16" customHeight="1" spans="1:11">
      <c r="A103" s="336">
        <v>21303</v>
      </c>
      <c r="B103" s="240" t="s">
        <v>177</v>
      </c>
      <c r="C103" s="337">
        <v>1459.559773</v>
      </c>
      <c r="D103" s="337">
        <v>1641.153301</v>
      </c>
      <c r="E103" s="335">
        <v>1915.5</v>
      </c>
      <c r="F103" s="317">
        <v>1546.949158</v>
      </c>
      <c r="G103" s="172">
        <f t="shared" si="8"/>
        <v>0.942598815758041</v>
      </c>
      <c r="H103" s="337">
        <v>12096.213204</v>
      </c>
      <c r="I103" s="349">
        <f t="shared" si="7"/>
        <v>-0.860103238140643</v>
      </c>
      <c r="J103" s="335">
        <v>145.2719</v>
      </c>
      <c r="K103" s="237"/>
    </row>
    <row r="104" ht="16" customHeight="1" spans="1:11">
      <c r="A104" s="336">
        <v>21305</v>
      </c>
      <c r="B104" s="240" t="s">
        <v>178</v>
      </c>
      <c r="C104" s="337">
        <v>210</v>
      </c>
      <c r="D104" s="337">
        <v>210</v>
      </c>
      <c r="E104" s="335">
        <v>7120.4</v>
      </c>
      <c r="F104" s="317">
        <v>210</v>
      </c>
      <c r="G104" s="172">
        <f t="shared" si="8"/>
        <v>1</v>
      </c>
      <c r="H104" s="337">
        <v>5373.455745</v>
      </c>
      <c r="I104" s="349">
        <f t="shared" si="7"/>
        <v>0.308655050624224</v>
      </c>
      <c r="J104" s="335">
        <v>6822</v>
      </c>
      <c r="K104" s="237"/>
    </row>
    <row r="105" ht="16" customHeight="1" spans="1:11">
      <c r="A105" s="336">
        <v>21307</v>
      </c>
      <c r="B105" s="240" t="s">
        <v>179</v>
      </c>
      <c r="C105" s="337">
        <v>295.92</v>
      </c>
      <c r="D105" s="337">
        <v>2794.685525</v>
      </c>
      <c r="E105" s="335">
        <v>3118.66</v>
      </c>
      <c r="F105" s="317">
        <v>2652.505306</v>
      </c>
      <c r="G105" s="172">
        <f t="shared" si="8"/>
        <v>0.949124787841738</v>
      </c>
      <c r="H105" s="337">
        <v>972.9407</v>
      </c>
      <c r="I105" s="349">
        <f t="shared" si="7"/>
        <v>2.32492278923063</v>
      </c>
      <c r="J105" s="335">
        <v>582.4474</v>
      </c>
      <c r="K105" s="237"/>
    </row>
    <row r="106" ht="16" customHeight="1" spans="1:11">
      <c r="A106" s="336">
        <v>21308</v>
      </c>
      <c r="B106" s="240" t="s">
        <v>180</v>
      </c>
      <c r="C106" s="337">
        <v>175.8133</v>
      </c>
      <c r="D106" s="337">
        <v>178.5333</v>
      </c>
      <c r="E106" s="335">
        <v>825</v>
      </c>
      <c r="F106" s="317">
        <v>118.553649</v>
      </c>
      <c r="G106" s="172">
        <f t="shared" si="8"/>
        <v>0.664042220694963</v>
      </c>
      <c r="H106" s="337">
        <v>1564.303651</v>
      </c>
      <c r="I106" s="349">
        <f t="shared" si="7"/>
        <v>-0.790605437895254</v>
      </c>
      <c r="J106" s="335">
        <v>209.003029</v>
      </c>
      <c r="K106" s="237"/>
    </row>
    <row r="107" ht="16" customHeight="1" spans="1:11">
      <c r="A107" s="336">
        <v>21399</v>
      </c>
      <c r="B107" s="240" t="s">
        <v>181</v>
      </c>
      <c r="C107" s="337"/>
      <c r="D107" s="337">
        <v>0</v>
      </c>
      <c r="E107" s="335">
        <v>120.7</v>
      </c>
      <c r="F107" s="335">
        <v>0</v>
      </c>
      <c r="G107" s="172">
        <v>0</v>
      </c>
      <c r="H107" s="337">
        <v>697</v>
      </c>
      <c r="I107" s="349">
        <v>0</v>
      </c>
      <c r="J107" s="335">
        <v>0</v>
      </c>
      <c r="K107" s="237"/>
    </row>
    <row r="108" ht="16" customHeight="1" spans="1:11">
      <c r="A108" s="334">
        <v>214</v>
      </c>
      <c r="B108" s="239" t="s">
        <v>182</v>
      </c>
      <c r="C108" s="333">
        <v>1674.997536</v>
      </c>
      <c r="D108" s="333">
        <v>1601.095816</v>
      </c>
      <c r="E108" s="335">
        <v>3559.428228</v>
      </c>
      <c r="F108" s="335">
        <f>SUM(F109:F111)</f>
        <v>1523.501357</v>
      </c>
      <c r="G108" s="172">
        <f t="shared" si="8"/>
        <v>0.951536654943079</v>
      </c>
      <c r="H108" s="333">
        <v>5397.780047</v>
      </c>
      <c r="I108" s="349">
        <f t="shared" si="7"/>
        <v>-0.111010208786301</v>
      </c>
      <c r="J108" s="335">
        <f>173.7+3101.37</f>
        <v>3275.07</v>
      </c>
      <c r="K108" s="350"/>
    </row>
    <row r="109" ht="51" customHeight="1" spans="1:11">
      <c r="A109" s="336">
        <v>21401</v>
      </c>
      <c r="B109" s="240" t="s">
        <v>183</v>
      </c>
      <c r="C109" s="337">
        <v>1674.997536</v>
      </c>
      <c r="D109" s="337">
        <v>1601.095816</v>
      </c>
      <c r="E109" s="335">
        <v>2218.788228</v>
      </c>
      <c r="F109" s="353">
        <v>1523.501357</v>
      </c>
      <c r="G109" s="172">
        <f t="shared" si="8"/>
        <v>0.951536654943079</v>
      </c>
      <c r="H109" s="337">
        <v>4583.020047</v>
      </c>
      <c r="I109" s="349">
        <f t="shared" si="7"/>
        <v>0.047032591563962</v>
      </c>
      <c r="J109" s="335">
        <f>173.7+3101.37</f>
        <v>3275.07</v>
      </c>
      <c r="K109" s="354" t="s">
        <v>184</v>
      </c>
    </row>
    <row r="110" ht="16" customHeight="1" spans="1:11">
      <c r="A110" s="336">
        <v>21404</v>
      </c>
      <c r="B110" s="240" t="s">
        <v>185</v>
      </c>
      <c r="C110" s="337">
        <v>0</v>
      </c>
      <c r="D110" s="337">
        <v>0</v>
      </c>
      <c r="E110" s="335">
        <v>540.94</v>
      </c>
      <c r="F110" s="335">
        <v>0</v>
      </c>
      <c r="G110" s="172">
        <v>0</v>
      </c>
      <c r="H110" s="337">
        <v>651.56</v>
      </c>
      <c r="I110" s="349">
        <f t="shared" si="7"/>
        <v>-1</v>
      </c>
      <c r="J110" s="335">
        <v>0</v>
      </c>
      <c r="K110" s="237"/>
    </row>
    <row r="111" ht="16" customHeight="1" spans="1:11">
      <c r="A111" s="336">
        <v>21406</v>
      </c>
      <c r="B111" s="240" t="s">
        <v>186</v>
      </c>
      <c r="C111" s="337">
        <v>0</v>
      </c>
      <c r="D111" s="337">
        <v>0</v>
      </c>
      <c r="E111" s="335">
        <v>799.7</v>
      </c>
      <c r="F111" s="335">
        <v>0</v>
      </c>
      <c r="G111" s="172">
        <v>0</v>
      </c>
      <c r="H111" s="337">
        <v>163.2</v>
      </c>
      <c r="I111" s="349">
        <f t="shared" si="7"/>
        <v>-1</v>
      </c>
      <c r="J111" s="335">
        <v>0</v>
      </c>
      <c r="K111" s="237"/>
    </row>
    <row r="112" ht="16" customHeight="1" spans="1:11">
      <c r="A112" s="334">
        <v>215</v>
      </c>
      <c r="B112" s="239" t="s">
        <v>187</v>
      </c>
      <c r="C112" s="333">
        <f>1401.902133+2785+1110</f>
        <v>5296.902133</v>
      </c>
      <c r="D112" s="333">
        <f>SUM(D113:D116)</f>
        <v>8239.097928</v>
      </c>
      <c r="E112" s="335">
        <v>5121.4143</v>
      </c>
      <c r="F112" s="335">
        <f>SUM(F113:F116)</f>
        <v>6380.544861</v>
      </c>
      <c r="G112" s="172">
        <f t="shared" si="8"/>
        <v>0.774422748310366</v>
      </c>
      <c r="H112" s="333">
        <v>12453.355863</v>
      </c>
      <c r="I112" s="349">
        <f t="shared" si="7"/>
        <v>-0.266011863664993</v>
      </c>
      <c r="J112" s="335">
        <v>2760.0706</v>
      </c>
      <c r="K112" s="350"/>
    </row>
    <row r="113" ht="48" customHeight="1" spans="1:11">
      <c r="A113" s="336">
        <v>21501</v>
      </c>
      <c r="B113" s="240" t="s">
        <v>188</v>
      </c>
      <c r="C113" s="337">
        <f>223.35+2785</f>
        <v>3008.35</v>
      </c>
      <c r="D113" s="337">
        <f>225.2093+2785</f>
        <v>3010.2093</v>
      </c>
      <c r="E113" s="335">
        <v>310</v>
      </c>
      <c r="F113" s="317">
        <v>2749.178334</v>
      </c>
      <c r="G113" s="172">
        <f t="shared" si="8"/>
        <v>0.913284778570048</v>
      </c>
      <c r="H113" s="337">
        <v>2446.5</v>
      </c>
      <c r="I113" s="349">
        <v>0</v>
      </c>
      <c r="J113" s="335">
        <v>231</v>
      </c>
      <c r="K113" s="354" t="s">
        <v>189</v>
      </c>
    </row>
    <row r="114" ht="16" customHeight="1" spans="1:11">
      <c r="A114" s="336">
        <v>21502</v>
      </c>
      <c r="B114" s="240" t="s">
        <v>190</v>
      </c>
      <c r="C114" s="337">
        <v>0</v>
      </c>
      <c r="D114" s="337">
        <v>0</v>
      </c>
      <c r="E114" s="335">
        <v>0</v>
      </c>
      <c r="F114" s="317">
        <v>0</v>
      </c>
      <c r="G114" s="172">
        <v>0</v>
      </c>
      <c r="H114" s="337">
        <v>250</v>
      </c>
      <c r="I114" s="349">
        <f t="shared" si="7"/>
        <v>-1</v>
      </c>
      <c r="J114" s="335">
        <v>0</v>
      </c>
      <c r="K114" s="237"/>
    </row>
    <row r="115" ht="49" customHeight="1" spans="1:11">
      <c r="A115" s="336">
        <v>21505</v>
      </c>
      <c r="B115" s="240" t="s">
        <v>191</v>
      </c>
      <c r="C115" s="337">
        <f>588.552133+1110</f>
        <v>1698.552133</v>
      </c>
      <c r="D115" s="337">
        <f>3028.888628+1110</f>
        <v>4138.888628</v>
      </c>
      <c r="E115" s="335">
        <v>4531.6143</v>
      </c>
      <c r="F115" s="317">
        <v>3556.366527</v>
      </c>
      <c r="G115" s="172">
        <f t="shared" si="8"/>
        <v>0.859256396255947</v>
      </c>
      <c r="H115" s="337">
        <v>9690.805863</v>
      </c>
      <c r="I115" s="349">
        <f t="shared" si="7"/>
        <v>-0.387498087268204</v>
      </c>
      <c r="J115" s="335">
        <v>2379.2706</v>
      </c>
      <c r="K115" s="355" t="s">
        <v>192</v>
      </c>
    </row>
    <row r="116" ht="16" customHeight="1" spans="1:11">
      <c r="A116" s="336">
        <v>21508</v>
      </c>
      <c r="B116" s="240" t="s">
        <v>193</v>
      </c>
      <c r="C116" s="337">
        <v>590</v>
      </c>
      <c r="D116" s="337">
        <v>1090</v>
      </c>
      <c r="E116" s="335">
        <v>279.8</v>
      </c>
      <c r="F116" s="317">
        <v>75</v>
      </c>
      <c r="G116" s="172">
        <f t="shared" si="8"/>
        <v>0.0688073394495413</v>
      </c>
      <c r="H116" s="337">
        <v>66.05</v>
      </c>
      <c r="I116" s="349">
        <f t="shared" si="7"/>
        <v>2.40348221044663</v>
      </c>
      <c r="J116" s="335">
        <v>149.8</v>
      </c>
      <c r="K116" s="237"/>
    </row>
    <row r="117" ht="16" customHeight="1" spans="1:11">
      <c r="A117" s="334">
        <v>216</v>
      </c>
      <c r="B117" s="239" t="s">
        <v>194</v>
      </c>
      <c r="C117" s="333">
        <v>129.200145</v>
      </c>
      <c r="D117" s="333">
        <v>157.94295</v>
      </c>
      <c r="E117" s="335">
        <v>1637.18</v>
      </c>
      <c r="F117" s="335">
        <f>SUM(F118:F122)</f>
        <v>164.038414</v>
      </c>
      <c r="G117" s="172">
        <f t="shared" si="8"/>
        <v>1.03859282101544</v>
      </c>
      <c r="H117" s="333">
        <v>527.737659</v>
      </c>
      <c r="I117" s="349">
        <f t="shared" si="7"/>
        <v>-0.344623965901209</v>
      </c>
      <c r="J117" s="335">
        <v>181.8282</v>
      </c>
      <c r="K117" s="350"/>
    </row>
    <row r="118" ht="16" customHeight="1" spans="1:11">
      <c r="A118" s="336">
        <v>21602</v>
      </c>
      <c r="B118" s="240" t="s">
        <v>195</v>
      </c>
      <c r="C118" s="337">
        <v>129.200145</v>
      </c>
      <c r="D118" s="337">
        <v>157.94295</v>
      </c>
      <c r="E118" s="335">
        <v>547.94</v>
      </c>
      <c r="F118" s="353">
        <v>164.038414</v>
      </c>
      <c r="G118" s="172">
        <f t="shared" si="8"/>
        <v>1.03859282101544</v>
      </c>
      <c r="H118" s="337">
        <v>527.737659</v>
      </c>
      <c r="I118" s="349">
        <f t="shared" si="7"/>
        <v>-0.688598281366917</v>
      </c>
      <c r="J118" s="335">
        <v>0.3</v>
      </c>
      <c r="K118" s="237"/>
    </row>
    <row r="119" ht="16" customHeight="1" spans="1:11">
      <c r="A119" s="336">
        <v>21606</v>
      </c>
      <c r="B119" s="240" t="s">
        <v>196</v>
      </c>
      <c r="C119" s="337">
        <v>0</v>
      </c>
      <c r="D119" s="337">
        <v>0</v>
      </c>
      <c r="E119" s="335">
        <v>3.24</v>
      </c>
      <c r="F119" s="335">
        <v>0</v>
      </c>
      <c r="G119" s="172">
        <v>0</v>
      </c>
      <c r="H119" s="337">
        <v>0</v>
      </c>
      <c r="I119" s="349">
        <v>0</v>
      </c>
      <c r="J119" s="335">
        <v>0</v>
      </c>
      <c r="K119" s="237"/>
    </row>
    <row r="120" ht="16" customHeight="1" spans="1:11">
      <c r="A120" s="336">
        <v>21699</v>
      </c>
      <c r="B120" s="240" t="s">
        <v>197</v>
      </c>
      <c r="C120" s="337">
        <v>0</v>
      </c>
      <c r="D120" s="337">
        <v>0</v>
      </c>
      <c r="E120" s="317">
        <v>1086</v>
      </c>
      <c r="F120" s="335">
        <v>0</v>
      </c>
      <c r="G120" s="172">
        <v>0</v>
      </c>
      <c r="H120" s="337">
        <v>0</v>
      </c>
      <c r="I120" s="349">
        <v>0</v>
      </c>
      <c r="J120" s="335">
        <v>181.5282</v>
      </c>
      <c r="K120" s="237"/>
    </row>
    <row r="121" ht="16" customHeight="1" spans="1:11">
      <c r="A121" s="334">
        <v>217</v>
      </c>
      <c r="B121" s="239" t="s">
        <v>198</v>
      </c>
      <c r="C121" s="333">
        <v>0</v>
      </c>
      <c r="D121" s="337">
        <v>0</v>
      </c>
      <c r="E121" s="335">
        <v>-48.65</v>
      </c>
      <c r="F121" s="335">
        <v>0</v>
      </c>
      <c r="G121" s="172">
        <v>0</v>
      </c>
      <c r="H121" s="333">
        <v>119.08</v>
      </c>
      <c r="I121" s="349">
        <v>0</v>
      </c>
      <c r="J121" s="335">
        <v>0</v>
      </c>
      <c r="K121" s="350"/>
    </row>
    <row r="122" ht="16" customHeight="1" spans="1:11">
      <c r="A122" s="336">
        <v>21799</v>
      </c>
      <c r="B122" s="240" t="s">
        <v>199</v>
      </c>
      <c r="C122" s="337">
        <v>0</v>
      </c>
      <c r="D122" s="337">
        <v>0</v>
      </c>
      <c r="E122" s="335">
        <v>-48.65</v>
      </c>
      <c r="F122" s="335">
        <v>0</v>
      </c>
      <c r="G122" s="172">
        <v>0</v>
      </c>
      <c r="H122" s="337">
        <v>119.08</v>
      </c>
      <c r="I122" s="349">
        <v>0</v>
      </c>
      <c r="J122" s="335">
        <v>0</v>
      </c>
      <c r="K122" s="237"/>
    </row>
    <row r="123" ht="16" customHeight="1" spans="1:11">
      <c r="A123" s="334">
        <v>220</v>
      </c>
      <c r="B123" s="239" t="s">
        <v>200</v>
      </c>
      <c r="C123" s="333">
        <v>2016.32763</v>
      </c>
      <c r="D123" s="333">
        <v>2161.699043</v>
      </c>
      <c r="E123" s="335">
        <v>0</v>
      </c>
      <c r="F123" s="335">
        <f>SUM(F124:F125)</f>
        <v>2032.863415</v>
      </c>
      <c r="G123" s="172">
        <f t="shared" si="8"/>
        <v>0.940400756332296</v>
      </c>
      <c r="H123" s="333">
        <v>2811.032892</v>
      </c>
      <c r="I123" s="349">
        <f t="shared" si="7"/>
        <v>-0.276826884244085</v>
      </c>
      <c r="J123" s="335">
        <v>0</v>
      </c>
      <c r="K123" s="350"/>
    </row>
    <row r="124" ht="16" customHeight="1" spans="1:11">
      <c r="A124" s="336">
        <v>22001</v>
      </c>
      <c r="B124" s="240" t="s">
        <v>201</v>
      </c>
      <c r="C124" s="337">
        <v>1706.57839</v>
      </c>
      <c r="D124" s="337">
        <v>1848.71931</v>
      </c>
      <c r="E124" s="335">
        <v>0</v>
      </c>
      <c r="F124" s="317">
        <v>1742.515264</v>
      </c>
      <c r="G124" s="172">
        <f t="shared" si="8"/>
        <v>0.942552638777814</v>
      </c>
      <c r="H124" s="337">
        <v>2490.955652</v>
      </c>
      <c r="I124" s="349">
        <f t="shared" si="7"/>
        <v>-0.300463152525046</v>
      </c>
      <c r="J124" s="335">
        <v>0</v>
      </c>
      <c r="K124" s="237"/>
    </row>
    <row r="125" ht="16" customHeight="1" spans="1:11">
      <c r="A125" s="336">
        <v>22005</v>
      </c>
      <c r="B125" s="240" t="s">
        <v>202</v>
      </c>
      <c r="C125" s="337">
        <v>309.74924</v>
      </c>
      <c r="D125" s="337">
        <v>312.979733</v>
      </c>
      <c r="E125" s="335">
        <v>0</v>
      </c>
      <c r="F125" s="317">
        <v>290.348151</v>
      </c>
      <c r="G125" s="172">
        <f t="shared" si="8"/>
        <v>0.927689944064205</v>
      </c>
      <c r="H125" s="337">
        <v>320.07724</v>
      </c>
      <c r="I125" s="349">
        <f t="shared" si="7"/>
        <v>-0.0928809839774926</v>
      </c>
      <c r="J125" s="335">
        <v>0</v>
      </c>
      <c r="K125" s="237"/>
    </row>
    <row r="126" ht="16" customHeight="1" spans="1:11">
      <c r="A126" s="334">
        <v>221</v>
      </c>
      <c r="B126" s="239" t="s">
        <v>203</v>
      </c>
      <c r="C126" s="333">
        <v>59.4491</v>
      </c>
      <c r="D126" s="333">
        <v>77.1248</v>
      </c>
      <c r="E126" s="335">
        <v>1916.84</v>
      </c>
      <c r="F126" s="335">
        <f>SUM(F127:F128)</f>
        <v>165.331902</v>
      </c>
      <c r="G126" s="172">
        <f t="shared" si="8"/>
        <v>2.14369310520092</v>
      </c>
      <c r="H126" s="333">
        <v>1126.532828</v>
      </c>
      <c r="I126" s="349">
        <f t="shared" si="7"/>
        <v>0.083567514998329</v>
      </c>
      <c r="J126" s="335">
        <v>1055.342475</v>
      </c>
      <c r="K126" s="350"/>
    </row>
    <row r="127" ht="16" customHeight="1" spans="1:11">
      <c r="A127" s="336">
        <v>22101</v>
      </c>
      <c r="B127" s="240" t="s">
        <v>204</v>
      </c>
      <c r="C127" s="337">
        <v>0</v>
      </c>
      <c r="D127" s="337">
        <v>15.87</v>
      </c>
      <c r="E127" s="335">
        <v>1916.84</v>
      </c>
      <c r="F127" s="317">
        <v>109.840402</v>
      </c>
      <c r="G127" s="172">
        <f t="shared" si="8"/>
        <v>6.92126036546944</v>
      </c>
      <c r="H127" s="337">
        <v>1126.532828</v>
      </c>
      <c r="I127" s="349">
        <f t="shared" si="7"/>
        <v>0.0343088528264355</v>
      </c>
      <c r="J127" s="335">
        <v>1055.342475</v>
      </c>
      <c r="K127" s="237"/>
    </row>
    <row r="128" ht="16" customHeight="1" spans="1:11">
      <c r="A128" s="336">
        <v>22102</v>
      </c>
      <c r="B128" s="240" t="s">
        <v>205</v>
      </c>
      <c r="C128" s="337">
        <v>59.4491</v>
      </c>
      <c r="D128" s="337">
        <v>61.2548</v>
      </c>
      <c r="E128" s="335">
        <v>0</v>
      </c>
      <c r="F128" s="317">
        <v>55.4915</v>
      </c>
      <c r="G128" s="172">
        <f t="shared" si="8"/>
        <v>0.905912679496137</v>
      </c>
      <c r="H128" s="337">
        <v>0</v>
      </c>
      <c r="I128" s="349">
        <v>0</v>
      </c>
      <c r="J128" s="335">
        <v>0</v>
      </c>
      <c r="K128" s="237"/>
    </row>
    <row r="129" ht="16" customHeight="1" spans="1:11">
      <c r="A129" s="334">
        <v>222</v>
      </c>
      <c r="B129" s="239" t="s">
        <v>206</v>
      </c>
      <c r="C129" s="333">
        <v>364.218</v>
      </c>
      <c r="D129" s="333">
        <v>367.826</v>
      </c>
      <c r="E129" s="335">
        <v>101.062176</v>
      </c>
      <c r="F129" s="335">
        <f>SUM(F130:F133)</f>
        <v>174.561419</v>
      </c>
      <c r="G129" s="172">
        <f t="shared" si="8"/>
        <v>0.474576074013256</v>
      </c>
      <c r="H129" s="333">
        <v>1047.762098</v>
      </c>
      <c r="I129" s="349">
        <f t="shared" si="7"/>
        <v>-0.737434103099232</v>
      </c>
      <c r="J129" s="335">
        <v>100.545176</v>
      </c>
      <c r="K129" s="350"/>
    </row>
    <row r="130" ht="16" customHeight="1" spans="1:11">
      <c r="A130" s="336">
        <v>22201</v>
      </c>
      <c r="B130" s="240" t="s">
        <v>207</v>
      </c>
      <c r="C130" s="337">
        <v>102.338</v>
      </c>
      <c r="D130" s="337">
        <v>105.946</v>
      </c>
      <c r="E130" s="335">
        <v>68.574</v>
      </c>
      <c r="F130" s="317">
        <v>88.561419</v>
      </c>
      <c r="G130" s="172">
        <f t="shared" si="8"/>
        <v>0.835910926320956</v>
      </c>
      <c r="H130" s="337">
        <v>108.200182</v>
      </c>
      <c r="I130" s="349">
        <f t="shared" si="7"/>
        <v>0.447487574466372</v>
      </c>
      <c r="J130" s="335">
        <v>68.057</v>
      </c>
      <c r="K130" s="237"/>
    </row>
    <row r="131" ht="16" customHeight="1" spans="1:11">
      <c r="A131" s="336">
        <v>22202</v>
      </c>
      <c r="B131" s="240" t="s">
        <v>208</v>
      </c>
      <c r="C131" s="337">
        <v>0</v>
      </c>
      <c r="D131" s="337">
        <v>0</v>
      </c>
      <c r="E131" s="335">
        <v>0</v>
      </c>
      <c r="F131" s="317">
        <v>0</v>
      </c>
      <c r="G131" s="172">
        <v>0</v>
      </c>
      <c r="H131" s="337">
        <v>50</v>
      </c>
      <c r="I131" s="349">
        <f t="shared" si="7"/>
        <v>-1</v>
      </c>
      <c r="J131" s="335">
        <v>0</v>
      </c>
      <c r="K131" s="237"/>
    </row>
    <row r="132" ht="16" customHeight="1" spans="1:11">
      <c r="A132" s="336">
        <v>22204</v>
      </c>
      <c r="B132" s="240" t="s">
        <v>209</v>
      </c>
      <c r="C132" s="337">
        <v>211.88</v>
      </c>
      <c r="D132" s="337">
        <v>211.88</v>
      </c>
      <c r="E132" s="335">
        <v>0</v>
      </c>
      <c r="F132" s="317">
        <v>36</v>
      </c>
      <c r="G132" s="172">
        <f>F132/D132</f>
        <v>0.169907494808382</v>
      </c>
      <c r="H132" s="337">
        <v>184.6</v>
      </c>
      <c r="I132" s="349">
        <f t="shared" si="7"/>
        <v>-0.804983748645721</v>
      </c>
      <c r="J132" s="335">
        <v>0</v>
      </c>
      <c r="K132" s="237"/>
    </row>
    <row r="133" ht="16" customHeight="1" spans="1:11">
      <c r="A133" s="336">
        <v>22205</v>
      </c>
      <c r="B133" s="240" t="s">
        <v>210</v>
      </c>
      <c r="C133" s="337">
        <v>50</v>
      </c>
      <c r="D133" s="337">
        <v>50</v>
      </c>
      <c r="E133" s="335">
        <v>32.488176</v>
      </c>
      <c r="F133" s="317">
        <v>50</v>
      </c>
      <c r="G133" s="172">
        <f>F133/D133</f>
        <v>1</v>
      </c>
      <c r="H133" s="337">
        <v>704.961916</v>
      </c>
      <c r="I133" s="349">
        <f t="shared" si="7"/>
        <v>-0.882989174127245</v>
      </c>
      <c r="J133" s="335">
        <v>32.488176</v>
      </c>
      <c r="K133" s="237"/>
    </row>
    <row r="134" ht="16" customHeight="1" spans="1:11">
      <c r="A134" s="334">
        <v>223</v>
      </c>
      <c r="B134" s="239" t="s">
        <v>211</v>
      </c>
      <c r="C134" s="337">
        <v>0</v>
      </c>
      <c r="D134" s="337">
        <v>0</v>
      </c>
      <c r="E134" s="335">
        <v>0</v>
      </c>
      <c r="F134" s="317">
        <v>0</v>
      </c>
      <c r="G134" s="172">
        <v>0</v>
      </c>
      <c r="H134" s="337">
        <f>SUM(H135)</f>
        <v>80</v>
      </c>
      <c r="I134" s="349">
        <f t="shared" si="7"/>
        <v>-1</v>
      </c>
      <c r="J134" s="335">
        <v>0</v>
      </c>
      <c r="K134" s="237"/>
    </row>
    <row r="135" ht="16" customHeight="1" spans="1:11">
      <c r="A135" s="336">
        <v>22399</v>
      </c>
      <c r="B135" s="240" t="s">
        <v>212</v>
      </c>
      <c r="C135" s="337">
        <v>0</v>
      </c>
      <c r="D135" s="337">
        <v>0</v>
      </c>
      <c r="E135" s="335">
        <v>0</v>
      </c>
      <c r="F135" s="317">
        <v>0</v>
      </c>
      <c r="G135" s="172">
        <v>0</v>
      </c>
      <c r="H135" s="337">
        <f>H136</f>
        <v>80</v>
      </c>
      <c r="I135" s="349">
        <f t="shared" si="7"/>
        <v>-1</v>
      </c>
      <c r="J135" s="335">
        <v>0</v>
      </c>
      <c r="K135" s="237"/>
    </row>
    <row r="136" ht="16" customHeight="1" spans="1:11">
      <c r="A136" s="336">
        <v>2239901</v>
      </c>
      <c r="B136" s="240" t="s">
        <v>212</v>
      </c>
      <c r="C136" s="337">
        <v>0</v>
      </c>
      <c r="D136" s="337">
        <v>0</v>
      </c>
      <c r="E136" s="335">
        <v>0</v>
      </c>
      <c r="F136" s="317">
        <v>0</v>
      </c>
      <c r="G136" s="172">
        <v>0</v>
      </c>
      <c r="H136" s="337">
        <v>80</v>
      </c>
      <c r="I136" s="349">
        <f t="shared" si="7"/>
        <v>-1</v>
      </c>
      <c r="J136" s="335">
        <v>0</v>
      </c>
      <c r="K136" s="237"/>
    </row>
    <row r="137" ht="16" customHeight="1" spans="1:11">
      <c r="A137" s="334">
        <v>224</v>
      </c>
      <c r="B137" s="239" t="s">
        <v>213</v>
      </c>
      <c r="C137" s="333">
        <v>1735.59541</v>
      </c>
      <c r="D137" s="333">
        <v>1672.59916</v>
      </c>
      <c r="E137" s="335">
        <v>1752.15</v>
      </c>
      <c r="F137" s="335">
        <f>SUM(F138:F142)</f>
        <v>1587.286705</v>
      </c>
      <c r="G137" s="172">
        <f t="shared" ref="G137:G150" si="9">F137/D137</f>
        <v>0.948994082359817</v>
      </c>
      <c r="H137" s="333">
        <v>2516.307557</v>
      </c>
      <c r="I137" s="349">
        <f t="shared" ref="I137:I150" si="10">(F137+J137)/H137-1</f>
        <v>-0.325993875318636</v>
      </c>
      <c r="J137" s="335">
        <v>108.72</v>
      </c>
      <c r="K137" s="350"/>
    </row>
    <row r="138" ht="16" customHeight="1" spans="1:11">
      <c r="A138" s="336">
        <v>22401</v>
      </c>
      <c r="B138" s="240" t="s">
        <v>214</v>
      </c>
      <c r="C138" s="337">
        <v>980.33541</v>
      </c>
      <c r="D138" s="337">
        <v>920.21693</v>
      </c>
      <c r="E138" s="335">
        <v>102.2</v>
      </c>
      <c r="F138" s="317">
        <v>890.872775</v>
      </c>
      <c r="G138" s="172">
        <f t="shared" si="9"/>
        <v>0.968111698401376</v>
      </c>
      <c r="H138" s="337">
        <v>1101.332557</v>
      </c>
      <c r="I138" s="349">
        <f t="shared" si="10"/>
        <v>-0.191095578408475</v>
      </c>
      <c r="J138" s="335">
        <v>0</v>
      </c>
      <c r="K138" s="237"/>
    </row>
    <row r="139" ht="16" customHeight="1" spans="1:11">
      <c r="A139" s="336">
        <v>22402</v>
      </c>
      <c r="B139" s="240" t="s">
        <v>215</v>
      </c>
      <c r="C139" s="337">
        <v>692.06</v>
      </c>
      <c r="D139" s="337">
        <v>692.06</v>
      </c>
      <c r="E139" s="335">
        <v>0</v>
      </c>
      <c r="F139" s="317">
        <v>680.0767</v>
      </c>
      <c r="G139" s="172">
        <f t="shared" si="9"/>
        <v>0.982684593821345</v>
      </c>
      <c r="H139" s="337">
        <v>630</v>
      </c>
      <c r="I139" s="349">
        <f t="shared" si="10"/>
        <v>0.0794868253968253</v>
      </c>
      <c r="J139" s="335">
        <v>0</v>
      </c>
      <c r="K139" s="237"/>
    </row>
    <row r="140" ht="16" customHeight="1" spans="1:11">
      <c r="A140" s="336">
        <v>22404</v>
      </c>
      <c r="B140" s="240" t="s">
        <v>216</v>
      </c>
      <c r="C140" s="337">
        <v>13.2</v>
      </c>
      <c r="D140" s="337">
        <v>9.305</v>
      </c>
      <c r="E140" s="335">
        <v>0</v>
      </c>
      <c r="F140" s="317">
        <v>5.32</v>
      </c>
      <c r="G140" s="172">
        <f t="shared" si="9"/>
        <v>0.571735626007523</v>
      </c>
      <c r="H140" s="337">
        <v>7.895</v>
      </c>
      <c r="I140" s="349">
        <f t="shared" si="10"/>
        <v>-0.32615579480684</v>
      </c>
      <c r="J140" s="335">
        <v>0</v>
      </c>
      <c r="K140" s="237"/>
    </row>
    <row r="141" ht="16" customHeight="1" spans="1:11">
      <c r="A141" s="336">
        <v>22406</v>
      </c>
      <c r="B141" s="240" t="s">
        <v>217</v>
      </c>
      <c r="C141" s="337">
        <v>0</v>
      </c>
      <c r="D141" s="337">
        <v>0</v>
      </c>
      <c r="E141" s="335">
        <v>1003.45</v>
      </c>
      <c r="F141" s="317">
        <v>0</v>
      </c>
      <c r="G141" s="172">
        <v>0</v>
      </c>
      <c r="H141" s="337">
        <v>23.36</v>
      </c>
      <c r="I141" s="349">
        <v>0</v>
      </c>
      <c r="J141" s="335">
        <v>108.72</v>
      </c>
      <c r="K141" s="237"/>
    </row>
    <row r="142" ht="16" customHeight="1" spans="1:11">
      <c r="A142" s="336">
        <v>22407</v>
      </c>
      <c r="B142" s="240" t="s">
        <v>218</v>
      </c>
      <c r="C142" s="337">
        <v>50</v>
      </c>
      <c r="D142" s="337">
        <v>51.01723</v>
      </c>
      <c r="E142" s="335">
        <v>473.5</v>
      </c>
      <c r="F142" s="317">
        <v>11.01723</v>
      </c>
      <c r="G142" s="172">
        <f t="shared" si="9"/>
        <v>0.215951160029661</v>
      </c>
      <c r="H142" s="337">
        <v>753.72</v>
      </c>
      <c r="I142" s="349">
        <f t="shared" si="10"/>
        <v>-0.985382861009393</v>
      </c>
      <c r="J142" s="335">
        <v>0</v>
      </c>
      <c r="K142" s="237"/>
    </row>
    <row r="143" ht="16" customHeight="1" spans="1:11">
      <c r="A143" s="336">
        <v>22499</v>
      </c>
      <c r="B143" s="240" t="s">
        <v>219</v>
      </c>
      <c r="C143" s="337">
        <v>0</v>
      </c>
      <c r="D143" s="337">
        <v>0</v>
      </c>
      <c r="E143" s="335">
        <v>173</v>
      </c>
      <c r="F143" s="335">
        <v>0</v>
      </c>
      <c r="G143" s="172">
        <v>0</v>
      </c>
      <c r="H143" s="337">
        <v>0</v>
      </c>
      <c r="I143" s="349">
        <v>0</v>
      </c>
      <c r="J143" s="335">
        <v>0</v>
      </c>
      <c r="K143" s="237"/>
    </row>
    <row r="144" ht="16" customHeight="1" spans="1:11">
      <c r="A144" s="334">
        <v>227</v>
      </c>
      <c r="B144" s="239" t="s">
        <v>220</v>
      </c>
      <c r="C144" s="333">
        <v>5000</v>
      </c>
      <c r="D144" s="333">
        <v>513.094163</v>
      </c>
      <c r="E144" s="335">
        <v>0</v>
      </c>
      <c r="F144" s="335">
        <v>0</v>
      </c>
      <c r="G144" s="172">
        <f t="shared" si="9"/>
        <v>0</v>
      </c>
      <c r="H144" s="333">
        <v>0</v>
      </c>
      <c r="I144" s="349">
        <v>0</v>
      </c>
      <c r="J144" s="335">
        <v>0</v>
      </c>
      <c r="K144" s="350"/>
    </row>
    <row r="145" ht="16" customHeight="1" spans="1:11">
      <c r="A145" s="334">
        <v>229</v>
      </c>
      <c r="B145" s="239" t="s">
        <v>221</v>
      </c>
      <c r="C145" s="333">
        <v>0</v>
      </c>
      <c r="D145" s="333">
        <v>7.566636</v>
      </c>
      <c r="E145" s="335">
        <v>151</v>
      </c>
      <c r="F145" s="335">
        <v>0</v>
      </c>
      <c r="G145" s="172">
        <f t="shared" si="9"/>
        <v>0</v>
      </c>
      <c r="H145" s="333">
        <v>223.011768</v>
      </c>
      <c r="I145" s="349">
        <f t="shared" si="10"/>
        <v>-0.354294164422749</v>
      </c>
      <c r="J145" s="335">
        <v>144</v>
      </c>
      <c r="K145" s="350"/>
    </row>
    <row r="146" ht="16" customHeight="1" spans="1:11">
      <c r="A146" s="336">
        <v>22999</v>
      </c>
      <c r="B146" s="240" t="s">
        <v>222</v>
      </c>
      <c r="C146" s="337">
        <v>0</v>
      </c>
      <c r="D146" s="337">
        <v>7.566636</v>
      </c>
      <c r="E146" s="335">
        <v>151</v>
      </c>
      <c r="F146" s="335">
        <v>0</v>
      </c>
      <c r="G146" s="172">
        <f t="shared" si="9"/>
        <v>0</v>
      </c>
      <c r="H146" s="337">
        <v>223.011768</v>
      </c>
      <c r="I146" s="349">
        <f t="shared" si="10"/>
        <v>-0.354294164422749</v>
      </c>
      <c r="J146" s="335">
        <v>144</v>
      </c>
      <c r="K146" s="237"/>
    </row>
    <row r="147" ht="16" customHeight="1" spans="1:11">
      <c r="A147" s="334">
        <v>232</v>
      </c>
      <c r="B147" s="239" t="s">
        <v>223</v>
      </c>
      <c r="C147" s="333">
        <v>2700</v>
      </c>
      <c r="D147" s="333">
        <v>2748.3</v>
      </c>
      <c r="E147" s="335">
        <v>0</v>
      </c>
      <c r="F147" s="335">
        <f>SUM(F148)</f>
        <v>2640.1617</v>
      </c>
      <c r="G147" s="172">
        <f t="shared" si="9"/>
        <v>0.960652658006768</v>
      </c>
      <c r="H147" s="333">
        <v>2599.34325</v>
      </c>
      <c r="I147" s="349">
        <f t="shared" si="10"/>
        <v>0.0157033704571339</v>
      </c>
      <c r="J147" s="335">
        <v>0</v>
      </c>
      <c r="K147" s="350"/>
    </row>
    <row r="148" ht="16" customHeight="1" spans="1:11">
      <c r="A148" s="336">
        <v>23203</v>
      </c>
      <c r="B148" s="240" t="s">
        <v>224</v>
      </c>
      <c r="C148" s="337">
        <v>2700</v>
      </c>
      <c r="D148" s="337">
        <v>2748.3</v>
      </c>
      <c r="E148" s="335">
        <v>0</v>
      </c>
      <c r="F148" s="353">
        <v>2640.1617</v>
      </c>
      <c r="G148" s="172">
        <f t="shared" si="9"/>
        <v>0.960652658006768</v>
      </c>
      <c r="H148" s="337">
        <v>2599.34325</v>
      </c>
      <c r="I148" s="349">
        <f t="shared" si="10"/>
        <v>0.0157033704571339</v>
      </c>
      <c r="J148" s="317">
        <v>0</v>
      </c>
      <c r="K148" s="237"/>
    </row>
    <row r="149" ht="16" customHeight="1" spans="1:11">
      <c r="A149" s="334">
        <v>233</v>
      </c>
      <c r="B149" s="239" t="s">
        <v>225</v>
      </c>
      <c r="C149" s="333">
        <v>30</v>
      </c>
      <c r="D149" s="333">
        <v>30.0024</v>
      </c>
      <c r="E149" s="335">
        <v>0</v>
      </c>
      <c r="F149" s="335">
        <f>SUM(F150)</f>
        <v>17.284399</v>
      </c>
      <c r="G149" s="172">
        <f t="shared" si="9"/>
        <v>0.57610054528971</v>
      </c>
      <c r="H149" s="333">
        <v>16.98875</v>
      </c>
      <c r="I149" s="349">
        <f t="shared" si="10"/>
        <v>0.0174026340960931</v>
      </c>
      <c r="J149" s="358">
        <v>0</v>
      </c>
      <c r="K149" s="350"/>
    </row>
    <row r="150" ht="16" customHeight="1" spans="1:11">
      <c r="A150" s="356">
        <v>23303</v>
      </c>
      <c r="B150" s="357" t="s">
        <v>226</v>
      </c>
      <c r="C150" s="337">
        <v>30</v>
      </c>
      <c r="D150" s="337">
        <v>30.0024</v>
      </c>
      <c r="E150" s="337">
        <v>0</v>
      </c>
      <c r="F150" s="317">
        <v>17.284399</v>
      </c>
      <c r="G150" s="172">
        <f t="shared" si="9"/>
        <v>0.57610054528971</v>
      </c>
      <c r="H150" s="337">
        <v>16.98875</v>
      </c>
      <c r="I150" s="349">
        <f t="shared" si="10"/>
        <v>0.0174026340960931</v>
      </c>
      <c r="J150" s="160">
        <v>0</v>
      </c>
      <c r="K150" s="237"/>
    </row>
  </sheetData>
  <autoFilter ref="A6:XFC150">
    <extLst/>
  </autoFilter>
  <mergeCells count="7">
    <mergeCell ref="A2:K2"/>
    <mergeCell ref="C4:E4"/>
    <mergeCell ref="F4:J4"/>
    <mergeCell ref="A6:B6"/>
    <mergeCell ref="A4:A5"/>
    <mergeCell ref="B4:B5"/>
    <mergeCell ref="K4:K5"/>
  </mergeCells>
  <conditionalFormatting sqref="A7:A150">
    <cfRule type="duplicateValues" dxfId="0" priority="1"/>
  </conditionalFormatting>
  <pageMargins left="0.550694444444444" right="0.428472222222222" top="0.590277777777778" bottom="0.511805555555556" header="0.511805555555556" footer="0.511805555555556"/>
  <pageSetup paperSize="9" scale="56" fitToHeight="0" orientation="portrait" horizontalDpi="600"/>
  <headerFooter alignWithMargins="0" scaleWithDoc="0">
    <oddFooter>&amp;C第 &amp;P 页，共 &amp;N 页</oddFooter>
  </headerFooter>
  <colBreaks count="1" manualBreakCount="1">
    <brk id="11" max="1048575" man="1"/>
  </colBreaks>
  <ignoredErrors>
    <ignoredError sqref="J49 E49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59"/>
  <sheetViews>
    <sheetView workbookViewId="0">
      <pane ySplit="3" topLeftCell="A4" activePane="bottomLeft" state="frozen"/>
      <selection/>
      <selection pane="bottomLeft" activeCell="J7" sqref="J7"/>
    </sheetView>
  </sheetViews>
  <sheetFormatPr defaultColWidth="9" defaultRowHeight="14.25" outlineLevelCol="7"/>
  <cols>
    <col min="1" max="1" width="13.875" customWidth="1"/>
    <col min="2" max="2" width="31.625" customWidth="1"/>
    <col min="3" max="3" width="16.5" customWidth="1"/>
    <col min="4" max="4" width="8.125" hidden="1" customWidth="1"/>
    <col min="5" max="5" width="8.25" hidden="1" customWidth="1"/>
    <col min="6" max="6" width="18.25" customWidth="1"/>
    <col min="7" max="7" width="10.75" hidden="1" customWidth="1"/>
    <col min="8" max="8" width="8.125" hidden="1" customWidth="1"/>
  </cols>
  <sheetData>
    <row r="1" ht="18" customHeight="1" spans="1:1">
      <c r="A1" s="1" t="s">
        <v>7</v>
      </c>
    </row>
    <row r="2" ht="46.5" customHeight="1" spans="1:8">
      <c r="A2" s="144" t="s">
        <v>8</v>
      </c>
      <c r="B2" s="144"/>
      <c r="C2" s="145"/>
      <c r="D2" s="144"/>
      <c r="E2" s="144"/>
      <c r="F2" s="145"/>
      <c r="G2" s="144"/>
      <c r="H2" s="144"/>
    </row>
    <row r="3" ht="21.75" customHeight="1" spans="1:8">
      <c r="A3" s="230"/>
      <c r="B3" s="231"/>
      <c r="C3" s="306"/>
      <c r="D3" s="307"/>
      <c r="E3" s="307"/>
      <c r="F3" s="232" t="s">
        <v>38</v>
      </c>
      <c r="G3" s="308"/>
      <c r="H3" s="307"/>
    </row>
    <row r="4" ht="13.5" customHeight="1" spans="1:8">
      <c r="A4" s="233" t="s">
        <v>39</v>
      </c>
      <c r="B4" s="233" t="s">
        <v>40</v>
      </c>
      <c r="C4" s="309" t="s">
        <v>227</v>
      </c>
      <c r="D4" s="233"/>
      <c r="E4" s="233"/>
      <c r="F4" s="309" t="s">
        <v>228</v>
      </c>
      <c r="G4" s="310"/>
      <c r="H4" s="311"/>
    </row>
    <row r="5" ht="36" spans="1:8">
      <c r="A5" s="235"/>
      <c r="B5" s="233"/>
      <c r="C5" s="309"/>
      <c r="D5" s="233" t="s">
        <v>229</v>
      </c>
      <c r="E5" s="233" t="s">
        <v>230</v>
      </c>
      <c r="F5" s="309"/>
      <c r="G5" s="312" t="s">
        <v>229</v>
      </c>
      <c r="H5" s="313" t="s">
        <v>230</v>
      </c>
    </row>
    <row r="6" spans="1:8">
      <c r="A6" s="240"/>
      <c r="B6" s="238" t="s">
        <v>227</v>
      </c>
      <c r="C6" s="137">
        <f>C7+C12+C22+C27+C31+C34+C36+C40+C46+C50+C55</f>
        <v>202097</v>
      </c>
      <c r="D6" s="314" t="e">
        <f>D7+D12+D22+D27+D31+D34+D36+#REF!+D40+D46+D50+D55</f>
        <v>#REF!</v>
      </c>
      <c r="E6" s="314" t="e">
        <f>E7+E12+E22+E27+E31+E34+E36+#REF!+E40+E46+E50+E55</f>
        <v>#REF!</v>
      </c>
      <c r="F6" s="137">
        <f>F7+F12+F22+F27+F31+F34+F36+F40+F46+F50+F55</f>
        <v>112998</v>
      </c>
      <c r="G6" s="315" t="e">
        <f>#REF!+#REF!+#REF!+#REF!+#REF!+#REF!+#REF!+#REF!+#REF!+#REF!+#REF!+#REF!</f>
        <v>#REF!</v>
      </c>
      <c r="H6" s="314" t="e">
        <f>#REF!+#REF!+#REF!+#REF!+#REF!+#REF!+#REF!+#REF!+#REF!+#REF!+#REF!+#REF!</f>
        <v>#REF!</v>
      </c>
    </row>
    <row r="7" spans="1:6">
      <c r="A7" s="239">
        <v>501</v>
      </c>
      <c r="B7" s="239" t="s">
        <v>231</v>
      </c>
      <c r="C7" s="137">
        <v>35444</v>
      </c>
      <c r="D7" s="316"/>
      <c r="E7" s="316"/>
      <c r="F7" s="317">
        <v>29181</v>
      </c>
    </row>
    <row r="8" spans="1:6">
      <c r="A8" s="240">
        <v>50101</v>
      </c>
      <c r="B8" s="240" t="s">
        <v>232</v>
      </c>
      <c r="C8" s="137">
        <v>25505</v>
      </c>
      <c r="D8" s="316"/>
      <c r="E8" s="316"/>
      <c r="F8" s="317">
        <v>20404</v>
      </c>
    </row>
    <row r="9" spans="1:6">
      <c r="A9" s="240">
        <v>50102</v>
      </c>
      <c r="B9" s="240" t="s">
        <v>233</v>
      </c>
      <c r="C9" s="137">
        <v>2573</v>
      </c>
      <c r="D9" s="316"/>
      <c r="E9" s="316"/>
      <c r="F9" s="317">
        <v>2355</v>
      </c>
    </row>
    <row r="10" spans="1:6">
      <c r="A10" s="240">
        <v>50103</v>
      </c>
      <c r="B10" s="240" t="s">
        <v>234</v>
      </c>
      <c r="C10" s="137">
        <v>1891</v>
      </c>
      <c r="D10" s="316"/>
      <c r="E10" s="316"/>
      <c r="F10" s="317">
        <v>1890</v>
      </c>
    </row>
    <row r="11" spans="1:6">
      <c r="A11" s="240">
        <v>50199</v>
      </c>
      <c r="B11" s="240" t="s">
        <v>235</v>
      </c>
      <c r="C11" s="137">
        <v>5475</v>
      </c>
      <c r="D11" s="316"/>
      <c r="E11" s="316"/>
      <c r="F11" s="317">
        <v>4532</v>
      </c>
    </row>
    <row r="12" spans="1:6">
      <c r="A12" s="239">
        <v>502</v>
      </c>
      <c r="B12" s="239" t="s">
        <v>236</v>
      </c>
      <c r="C12" s="137">
        <v>17091</v>
      </c>
      <c r="D12" s="316"/>
      <c r="E12" s="316"/>
      <c r="F12" s="317">
        <v>2784</v>
      </c>
    </row>
    <row r="13" spans="1:6">
      <c r="A13" s="240">
        <v>50201</v>
      </c>
      <c r="B13" s="240" t="s">
        <v>237</v>
      </c>
      <c r="C13" s="137">
        <v>4745</v>
      </c>
      <c r="D13" s="316"/>
      <c r="E13" s="316"/>
      <c r="F13" s="317">
        <v>1932</v>
      </c>
    </row>
    <row r="14" spans="1:6">
      <c r="A14" s="240">
        <v>50202</v>
      </c>
      <c r="B14" s="240" t="s">
        <v>238</v>
      </c>
      <c r="C14" s="137">
        <v>95</v>
      </c>
      <c r="D14" s="316"/>
      <c r="E14" s="316"/>
      <c r="F14" s="317">
        <v>5</v>
      </c>
    </row>
    <row r="15" spans="1:6">
      <c r="A15" s="240">
        <v>50203</v>
      </c>
      <c r="B15" s="240" t="s">
        <v>239</v>
      </c>
      <c r="C15" s="137">
        <v>162</v>
      </c>
      <c r="D15" s="316"/>
      <c r="E15" s="316"/>
      <c r="F15" s="317">
        <v>44</v>
      </c>
    </row>
    <row r="16" spans="1:6">
      <c r="A16" s="240">
        <v>50204</v>
      </c>
      <c r="B16" s="240" t="s">
        <v>240</v>
      </c>
      <c r="C16" s="137">
        <v>992</v>
      </c>
      <c r="D16" s="316"/>
      <c r="E16" s="316"/>
      <c r="F16" s="317">
        <v>61</v>
      </c>
    </row>
    <row r="17" spans="1:6">
      <c r="A17" s="240">
        <v>50205</v>
      </c>
      <c r="B17" s="240" t="s">
        <v>241</v>
      </c>
      <c r="C17" s="137">
        <v>7066</v>
      </c>
      <c r="D17" s="316"/>
      <c r="E17" s="316"/>
      <c r="F17" s="317">
        <v>223</v>
      </c>
    </row>
    <row r="18" spans="1:6">
      <c r="A18" s="240">
        <v>50206</v>
      </c>
      <c r="B18" s="240" t="s">
        <v>242</v>
      </c>
      <c r="C18" s="137">
        <v>58</v>
      </c>
      <c r="D18" s="316"/>
      <c r="E18" s="316"/>
      <c r="F18" s="317">
        <v>28</v>
      </c>
    </row>
    <row r="19" spans="1:6">
      <c r="A19" s="240">
        <v>50208</v>
      </c>
      <c r="B19" s="240" t="s">
        <v>243</v>
      </c>
      <c r="C19" s="137">
        <v>456</v>
      </c>
      <c r="D19" s="316"/>
      <c r="E19" s="316"/>
      <c r="F19" s="317">
        <v>209</v>
      </c>
    </row>
    <row r="20" spans="1:6">
      <c r="A20" s="240">
        <v>50209</v>
      </c>
      <c r="B20" s="240" t="s">
        <v>244</v>
      </c>
      <c r="C20" s="137">
        <v>337</v>
      </c>
      <c r="D20" s="316"/>
      <c r="E20" s="316"/>
      <c r="F20" s="317">
        <v>54</v>
      </c>
    </row>
    <row r="21" spans="1:6">
      <c r="A21" s="240">
        <v>50299</v>
      </c>
      <c r="B21" s="240" t="s">
        <v>245</v>
      </c>
      <c r="C21" s="137">
        <v>3180</v>
      </c>
      <c r="D21" s="316"/>
      <c r="E21" s="316"/>
      <c r="F21" s="317">
        <v>228</v>
      </c>
    </row>
    <row r="22" spans="1:6">
      <c r="A22" s="239">
        <v>503</v>
      </c>
      <c r="B22" s="239" t="s">
        <v>246</v>
      </c>
      <c r="C22" s="137">
        <v>6241</v>
      </c>
      <c r="D22" s="316"/>
      <c r="E22" s="316"/>
      <c r="F22" s="317">
        <v>49</v>
      </c>
    </row>
    <row r="23" spans="1:6">
      <c r="A23" s="240">
        <v>50302</v>
      </c>
      <c r="B23" s="240" t="s">
        <v>247</v>
      </c>
      <c r="C23" s="137">
        <v>5723</v>
      </c>
      <c r="D23" s="316"/>
      <c r="E23" s="316"/>
      <c r="F23" s="317">
        <v>0</v>
      </c>
    </row>
    <row r="24" spans="1:6">
      <c r="A24" s="240">
        <v>50303</v>
      </c>
      <c r="B24" s="240" t="s">
        <v>248</v>
      </c>
      <c r="C24" s="137">
        <v>10</v>
      </c>
      <c r="D24" s="316"/>
      <c r="E24" s="316"/>
      <c r="F24" s="317">
        <v>0</v>
      </c>
    </row>
    <row r="25" spans="1:6">
      <c r="A25" s="240">
        <v>50306</v>
      </c>
      <c r="B25" s="240" t="s">
        <v>249</v>
      </c>
      <c r="C25" s="137">
        <v>337</v>
      </c>
      <c r="D25" s="316"/>
      <c r="E25" s="316"/>
      <c r="F25" s="317">
        <v>49</v>
      </c>
    </row>
    <row r="26" spans="1:6">
      <c r="A26" s="240">
        <v>50399</v>
      </c>
      <c r="B26" s="240" t="s">
        <v>250</v>
      </c>
      <c r="C26" s="137">
        <v>171</v>
      </c>
      <c r="D26" s="316"/>
      <c r="E26" s="316"/>
      <c r="F26" s="317">
        <v>0</v>
      </c>
    </row>
    <row r="27" spans="1:6">
      <c r="A27" s="239">
        <v>504</v>
      </c>
      <c r="B27" s="239" t="s">
        <v>251</v>
      </c>
      <c r="C27" s="137">
        <v>1080</v>
      </c>
      <c r="D27" s="316"/>
      <c r="E27" s="316"/>
      <c r="F27" s="317">
        <v>0</v>
      </c>
    </row>
    <row r="28" spans="1:6">
      <c r="A28" s="240">
        <v>50402</v>
      </c>
      <c r="B28" s="240" t="s">
        <v>247</v>
      </c>
      <c r="C28" s="137">
        <v>1066</v>
      </c>
      <c r="D28" s="316"/>
      <c r="E28" s="316"/>
      <c r="F28" s="317">
        <v>0</v>
      </c>
    </row>
    <row r="29" spans="1:6">
      <c r="A29" s="240">
        <v>50404</v>
      </c>
      <c r="B29" s="240" t="s">
        <v>249</v>
      </c>
      <c r="C29" s="137">
        <v>13</v>
      </c>
      <c r="D29" s="316"/>
      <c r="E29" s="316"/>
      <c r="F29" s="317">
        <v>0</v>
      </c>
    </row>
    <row r="30" spans="1:6">
      <c r="A30" s="240">
        <v>50499</v>
      </c>
      <c r="B30" s="240" t="s">
        <v>250</v>
      </c>
      <c r="C30" s="137">
        <v>1</v>
      </c>
      <c r="D30" s="316"/>
      <c r="E30" s="316"/>
      <c r="F30" s="317">
        <v>0</v>
      </c>
    </row>
    <row r="31" spans="1:6">
      <c r="A31" s="239">
        <v>505</v>
      </c>
      <c r="B31" s="239" t="s">
        <v>252</v>
      </c>
      <c r="C31" s="137">
        <v>87193</v>
      </c>
      <c r="D31" s="316"/>
      <c r="E31" s="316"/>
      <c r="F31" s="317">
        <v>71871</v>
      </c>
    </row>
    <row r="32" spans="1:6">
      <c r="A32" s="240">
        <v>50501</v>
      </c>
      <c r="B32" s="240" t="s">
        <v>253</v>
      </c>
      <c r="C32" s="137">
        <v>75003</v>
      </c>
      <c r="D32" s="316"/>
      <c r="E32" s="316"/>
      <c r="F32" s="317">
        <v>70425</v>
      </c>
    </row>
    <row r="33" spans="1:6">
      <c r="A33" s="240">
        <v>50502</v>
      </c>
      <c r="B33" s="240" t="s">
        <v>254</v>
      </c>
      <c r="C33" s="137">
        <v>12190</v>
      </c>
      <c r="D33" s="316"/>
      <c r="E33" s="316"/>
      <c r="F33" s="317">
        <v>1446</v>
      </c>
    </row>
    <row r="34" spans="1:6">
      <c r="A34" s="239">
        <v>506</v>
      </c>
      <c r="B34" s="239" t="s">
        <v>255</v>
      </c>
      <c r="C34" s="137">
        <v>4597</v>
      </c>
      <c r="D34" s="316"/>
      <c r="E34" s="316"/>
      <c r="F34" s="317">
        <v>0</v>
      </c>
    </row>
    <row r="35" spans="1:6">
      <c r="A35" s="240">
        <v>50601</v>
      </c>
      <c r="B35" s="240" t="s">
        <v>256</v>
      </c>
      <c r="C35" s="137">
        <v>4597</v>
      </c>
      <c r="D35" s="316"/>
      <c r="E35" s="316"/>
      <c r="F35" s="317">
        <v>0</v>
      </c>
    </row>
    <row r="36" spans="1:6">
      <c r="A36" s="239">
        <v>507</v>
      </c>
      <c r="B36" s="239" t="s">
        <v>257</v>
      </c>
      <c r="C36" s="137">
        <v>9123</v>
      </c>
      <c r="D36" s="316"/>
      <c r="E36" s="316"/>
      <c r="F36" s="317">
        <v>0</v>
      </c>
    </row>
    <row r="37" spans="1:6">
      <c r="A37" s="240">
        <v>50701</v>
      </c>
      <c r="B37" s="240" t="s">
        <v>258</v>
      </c>
      <c r="C37" s="137">
        <v>181</v>
      </c>
      <c r="D37" s="316"/>
      <c r="E37" s="316"/>
      <c r="F37" s="317">
        <v>0</v>
      </c>
    </row>
    <row r="38" spans="1:6">
      <c r="A38" s="240">
        <v>50702</v>
      </c>
      <c r="B38" s="240" t="s">
        <v>259</v>
      </c>
      <c r="C38" s="137">
        <v>1124</v>
      </c>
      <c r="D38" s="316"/>
      <c r="E38" s="316"/>
      <c r="F38" s="317">
        <v>0</v>
      </c>
    </row>
    <row r="39" spans="1:6">
      <c r="A39" s="240">
        <v>50799</v>
      </c>
      <c r="B39" s="240" t="s">
        <v>260</v>
      </c>
      <c r="C39" s="137">
        <v>7818</v>
      </c>
      <c r="D39" s="316"/>
      <c r="E39" s="316"/>
      <c r="F39" s="317">
        <v>0</v>
      </c>
    </row>
    <row r="40" spans="1:6">
      <c r="A40" s="239">
        <v>509</v>
      </c>
      <c r="B40" s="239" t="s">
        <v>261</v>
      </c>
      <c r="C40" s="137">
        <v>33357</v>
      </c>
      <c r="D40" s="316"/>
      <c r="E40" s="316"/>
      <c r="F40" s="317">
        <v>9113</v>
      </c>
    </row>
    <row r="41" spans="1:6">
      <c r="A41" s="240">
        <v>50901</v>
      </c>
      <c r="B41" s="240" t="s">
        <v>262</v>
      </c>
      <c r="C41" s="137">
        <v>14088</v>
      </c>
      <c r="D41" s="316"/>
      <c r="E41" s="316"/>
      <c r="F41" s="317">
        <v>872</v>
      </c>
    </row>
    <row r="42" spans="1:6">
      <c r="A42" s="240">
        <v>50902</v>
      </c>
      <c r="B42" s="240" t="s">
        <v>263</v>
      </c>
      <c r="C42" s="137">
        <v>3013</v>
      </c>
      <c r="D42" s="316"/>
      <c r="E42" s="316"/>
      <c r="F42" s="317">
        <v>0</v>
      </c>
    </row>
    <row r="43" spans="1:6">
      <c r="A43" s="240">
        <v>50903</v>
      </c>
      <c r="B43" s="240" t="s">
        <v>264</v>
      </c>
      <c r="C43" s="137">
        <v>2750</v>
      </c>
      <c r="D43" s="316"/>
      <c r="E43" s="316"/>
      <c r="F43" s="317">
        <v>0</v>
      </c>
    </row>
    <row r="44" spans="1:6">
      <c r="A44" s="240">
        <v>50905</v>
      </c>
      <c r="B44" s="240" t="s">
        <v>265</v>
      </c>
      <c r="C44" s="137">
        <v>8286</v>
      </c>
      <c r="D44" s="316"/>
      <c r="E44" s="316"/>
      <c r="F44" s="317">
        <v>8202</v>
      </c>
    </row>
    <row r="45" spans="1:6">
      <c r="A45" s="240">
        <v>50999</v>
      </c>
      <c r="B45" s="240" t="s">
        <v>266</v>
      </c>
      <c r="C45" s="137">
        <v>5220</v>
      </c>
      <c r="D45" s="316"/>
      <c r="E45" s="316"/>
      <c r="F45" s="317">
        <v>39</v>
      </c>
    </row>
    <row r="46" spans="1:6">
      <c r="A46" s="239">
        <v>510</v>
      </c>
      <c r="B46" s="239" t="s">
        <v>267</v>
      </c>
      <c r="C46" s="137">
        <v>3264</v>
      </c>
      <c r="D46" s="316"/>
      <c r="E46" s="316"/>
      <c r="F46" s="317">
        <v>0</v>
      </c>
    </row>
    <row r="47" spans="1:6">
      <c r="A47" s="240">
        <v>51002</v>
      </c>
      <c r="B47" s="240" t="s">
        <v>268</v>
      </c>
      <c r="C47" s="137">
        <v>3134</v>
      </c>
      <c r="D47" s="316"/>
      <c r="E47" s="316"/>
      <c r="F47" s="317">
        <v>0</v>
      </c>
    </row>
    <row r="48" spans="1:6">
      <c r="A48" s="240">
        <v>51003</v>
      </c>
      <c r="B48" s="240" t="s">
        <v>269</v>
      </c>
      <c r="C48" s="137">
        <v>0</v>
      </c>
      <c r="D48" s="316"/>
      <c r="E48" s="316"/>
      <c r="F48" s="317">
        <v>0</v>
      </c>
    </row>
    <row r="49" spans="1:6">
      <c r="A49" s="240">
        <v>51004</v>
      </c>
      <c r="B49" s="240" t="s">
        <v>270</v>
      </c>
      <c r="C49" s="137">
        <v>130</v>
      </c>
      <c r="D49" s="316"/>
      <c r="E49" s="316"/>
      <c r="F49" s="317">
        <v>0</v>
      </c>
    </row>
    <row r="50" spans="1:6">
      <c r="A50" s="239">
        <v>511</v>
      </c>
      <c r="B50" s="239" t="s">
        <v>271</v>
      </c>
      <c r="C50" s="137">
        <v>2657</v>
      </c>
      <c r="D50" s="316"/>
      <c r="E50" s="316"/>
      <c r="F50" s="317">
        <v>0</v>
      </c>
    </row>
    <row r="51" spans="1:6">
      <c r="A51" s="240">
        <v>51101</v>
      </c>
      <c r="B51" s="240" t="s">
        <v>272</v>
      </c>
      <c r="C51" s="137">
        <v>2640</v>
      </c>
      <c r="D51" s="316"/>
      <c r="E51" s="316"/>
      <c r="F51" s="317">
        <v>0</v>
      </c>
    </row>
    <row r="52" spans="1:6">
      <c r="A52" s="240">
        <v>51102</v>
      </c>
      <c r="B52" s="240" t="s">
        <v>273</v>
      </c>
      <c r="C52" s="137">
        <v>0</v>
      </c>
      <c r="D52" s="316"/>
      <c r="E52" s="316"/>
      <c r="F52" s="317">
        <v>0</v>
      </c>
    </row>
    <row r="53" spans="1:6">
      <c r="A53" s="240">
        <v>51103</v>
      </c>
      <c r="B53" s="240" t="s">
        <v>274</v>
      </c>
      <c r="C53" s="137">
        <v>17</v>
      </c>
      <c r="D53" s="316"/>
      <c r="E53" s="316"/>
      <c r="F53" s="317">
        <v>0</v>
      </c>
    </row>
    <row r="54" spans="1:6">
      <c r="A54" s="240">
        <v>51104</v>
      </c>
      <c r="B54" s="240" t="s">
        <v>275</v>
      </c>
      <c r="C54" s="137">
        <v>0</v>
      </c>
      <c r="D54" s="316"/>
      <c r="E54" s="316"/>
      <c r="F54" s="317">
        <v>0</v>
      </c>
    </row>
    <row r="55" spans="1:6">
      <c r="A55" s="239">
        <v>599</v>
      </c>
      <c r="B55" s="239" t="s">
        <v>276</v>
      </c>
      <c r="C55" s="137">
        <v>2050</v>
      </c>
      <c r="D55" s="316"/>
      <c r="E55" s="316"/>
      <c r="F55" s="317">
        <v>0</v>
      </c>
    </row>
    <row r="56" spans="1:6">
      <c r="A56" s="240">
        <v>59906</v>
      </c>
      <c r="B56" s="240" t="s">
        <v>277</v>
      </c>
      <c r="C56" s="137">
        <v>0</v>
      </c>
      <c r="D56" s="316"/>
      <c r="E56" s="316"/>
      <c r="F56" s="317">
        <v>0</v>
      </c>
    </row>
    <row r="57" spans="1:6">
      <c r="A57" s="240">
        <v>59907</v>
      </c>
      <c r="B57" s="240" t="s">
        <v>278</v>
      </c>
      <c r="C57" s="137">
        <v>0</v>
      </c>
      <c r="D57" s="316"/>
      <c r="E57" s="316"/>
      <c r="F57" s="317">
        <v>0</v>
      </c>
    </row>
    <row r="58" spans="1:6">
      <c r="A58" s="240">
        <v>59908</v>
      </c>
      <c r="B58" s="240" t="s">
        <v>279</v>
      </c>
      <c r="C58" s="137">
        <v>0</v>
      </c>
      <c r="D58" s="316"/>
      <c r="E58" s="316"/>
      <c r="F58" s="317">
        <v>0</v>
      </c>
    </row>
    <row r="59" spans="1:6">
      <c r="A59" s="240">
        <v>59999</v>
      </c>
      <c r="B59" s="240" t="s">
        <v>280</v>
      </c>
      <c r="C59" s="137">
        <v>2050</v>
      </c>
      <c r="D59" s="316"/>
      <c r="E59" s="316"/>
      <c r="F59" s="317">
        <v>0</v>
      </c>
    </row>
  </sheetData>
  <mergeCells count="6">
    <mergeCell ref="A2:H2"/>
    <mergeCell ref="F3:G3"/>
    <mergeCell ref="A4:A5"/>
    <mergeCell ref="B4:B5"/>
    <mergeCell ref="C4:C5"/>
    <mergeCell ref="F4:F5"/>
  </mergeCells>
  <pageMargins left="0.550694444444444" right="0.432638888888889" top="0.590277777777778" bottom="0.511805555555556" header="0.511805555555556" footer="0.511805555555556"/>
  <pageSetup paperSize="9" fitToHeight="0" orientation="portrait" horizontalDpi="600"/>
  <headerFooter alignWithMargins="0" scaleWithDoc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8"/>
  <sheetViews>
    <sheetView workbookViewId="0">
      <selection activeCell="E5" sqref="E5"/>
    </sheetView>
  </sheetViews>
  <sheetFormatPr defaultColWidth="9" defaultRowHeight="14.25"/>
  <cols>
    <col min="1" max="1" width="6.25" customWidth="1"/>
    <col min="2" max="2" width="16.25" customWidth="1"/>
    <col min="3" max="5" width="11.125" customWidth="1"/>
    <col min="6" max="6" width="10.5" customWidth="1"/>
    <col min="7" max="7" width="11.125" customWidth="1"/>
    <col min="8" max="8" width="12.875" customWidth="1"/>
    <col min="9" max="9" width="12.625"/>
    <col min="10" max="10" width="17" customWidth="1"/>
    <col min="12" max="12" width="13.75"/>
  </cols>
  <sheetData>
    <row r="1" spans="1:5">
      <c r="A1" s="286" t="s">
        <v>9</v>
      </c>
      <c r="E1" s="287"/>
    </row>
    <row r="2" ht="20.25" spans="1:8">
      <c r="A2" s="188" t="s">
        <v>10</v>
      </c>
      <c r="B2" s="52"/>
      <c r="C2" s="145"/>
      <c r="D2" s="145"/>
      <c r="E2" s="145"/>
      <c r="F2" s="288"/>
      <c r="G2" s="145"/>
      <c r="H2" s="288"/>
    </row>
    <row r="3" ht="18.75" spans="1:8">
      <c r="A3" s="48"/>
      <c r="B3" s="48"/>
      <c r="C3" s="289"/>
      <c r="D3" s="289"/>
      <c r="E3" s="289"/>
      <c r="F3" s="290" t="s">
        <v>38</v>
      </c>
      <c r="G3" s="291"/>
      <c r="H3" s="290"/>
    </row>
    <row r="4" ht="31.5" customHeight="1" spans="1:8">
      <c r="A4" s="198" t="s">
        <v>39</v>
      </c>
      <c r="B4" s="292" t="s">
        <v>40</v>
      </c>
      <c r="C4" s="150" t="s">
        <v>41</v>
      </c>
      <c r="D4" s="150" t="s">
        <v>42</v>
      </c>
      <c r="E4" s="150" t="s">
        <v>43</v>
      </c>
      <c r="F4" s="293" t="s">
        <v>44</v>
      </c>
      <c r="G4" s="150" t="s">
        <v>45</v>
      </c>
      <c r="H4" s="293" t="s">
        <v>46</v>
      </c>
    </row>
    <row r="5" ht="23.25" customHeight="1" spans="1:8">
      <c r="A5" s="292" t="s">
        <v>47</v>
      </c>
      <c r="B5" s="292"/>
      <c r="C5" s="153">
        <f t="shared" ref="C5:G5" si="0">C6+C21</f>
        <v>86348</v>
      </c>
      <c r="D5" s="153">
        <f t="shared" si="0"/>
        <v>89656</v>
      </c>
      <c r="E5" s="153">
        <f t="shared" si="0"/>
        <v>90221.13285656</v>
      </c>
      <c r="F5" s="294">
        <f>E5/D5</f>
        <v>1.00630334675381</v>
      </c>
      <c r="G5" s="199">
        <f t="shared" si="0"/>
        <v>81450</v>
      </c>
      <c r="H5" s="294">
        <f>E5/G5-1</f>
        <v>0.107687327889012</v>
      </c>
    </row>
    <row r="6" ht="23.25" customHeight="1" spans="1:8">
      <c r="A6" s="295">
        <v>101</v>
      </c>
      <c r="B6" s="295" t="s">
        <v>48</v>
      </c>
      <c r="C6" s="199">
        <f>SUM(C7:C20)</f>
        <v>66189</v>
      </c>
      <c r="D6" s="199">
        <f>SUM(D7:D20)</f>
        <v>62625</v>
      </c>
      <c r="E6" s="199">
        <f>SUM(E7:E20)</f>
        <v>56223.60285656</v>
      </c>
      <c r="F6" s="294">
        <f>E6/D6</f>
        <v>0.897782081541876</v>
      </c>
      <c r="G6" s="199">
        <f>SUM(G7:G20)</f>
        <v>62081</v>
      </c>
      <c r="H6" s="294">
        <f>E6/G6-1</f>
        <v>-0.0943508826120714</v>
      </c>
    </row>
    <row r="7" ht="23.25" customHeight="1" spans="1:10">
      <c r="A7" s="295">
        <v>10101</v>
      </c>
      <c r="B7" s="296" t="s">
        <v>49</v>
      </c>
      <c r="C7" s="137">
        <v>30792</v>
      </c>
      <c r="D7" s="297">
        <v>21523</v>
      </c>
      <c r="E7" s="153">
        <v>16259.6841</v>
      </c>
      <c r="F7" s="294">
        <f>E7/D7</f>
        <v>0.755456214282396</v>
      </c>
      <c r="G7" s="153">
        <v>27702</v>
      </c>
      <c r="H7" s="294">
        <f>E7/G7-1</f>
        <v>-0.413050173272688</v>
      </c>
      <c r="J7" s="303"/>
    </row>
    <row r="8" ht="20" customHeight="1" spans="1:8">
      <c r="A8" s="295">
        <v>10104</v>
      </c>
      <c r="B8" s="296" t="s">
        <v>50</v>
      </c>
      <c r="C8" s="137">
        <v>3350</v>
      </c>
      <c r="D8" s="297">
        <v>6221</v>
      </c>
      <c r="E8" s="153">
        <v>6223.86931336</v>
      </c>
      <c r="F8" s="294">
        <f>E8/D8</f>
        <v>1.00046123024594</v>
      </c>
      <c r="G8" s="153">
        <v>3201</v>
      </c>
      <c r="H8" s="294">
        <f>E8/G8-1</f>
        <v>0.944351550565448</v>
      </c>
    </row>
    <row r="9" ht="23.25" customHeight="1" spans="1:10">
      <c r="A9" s="295">
        <v>10106</v>
      </c>
      <c r="B9" s="296" t="s">
        <v>51</v>
      </c>
      <c r="C9" s="137">
        <v>1734</v>
      </c>
      <c r="D9" s="297">
        <v>2494</v>
      </c>
      <c r="E9" s="153">
        <v>2608.3074332</v>
      </c>
      <c r="F9" s="294">
        <f t="shared" ref="F9:F20" si="1">E9/D9</f>
        <v>1.04583297241379</v>
      </c>
      <c r="G9" s="153">
        <v>1685</v>
      </c>
      <c r="H9" s="294">
        <f t="shared" ref="H9:H20" si="2">E9/G9-1</f>
        <v>0.547956933649852</v>
      </c>
      <c r="J9" s="303"/>
    </row>
    <row r="10" ht="23.25" customHeight="1" spans="1:10">
      <c r="A10" s="295">
        <v>10107</v>
      </c>
      <c r="B10" s="296" t="s">
        <v>52</v>
      </c>
      <c r="C10" s="137">
        <v>1310</v>
      </c>
      <c r="D10" s="297">
        <v>1310</v>
      </c>
      <c r="E10" s="153">
        <v>878.19</v>
      </c>
      <c r="F10" s="294">
        <f t="shared" si="1"/>
        <v>0.670374045801527</v>
      </c>
      <c r="G10" s="153">
        <v>1278</v>
      </c>
      <c r="H10" s="294">
        <f t="shared" si="2"/>
        <v>-0.312840375586854</v>
      </c>
      <c r="J10" s="303"/>
    </row>
    <row r="11" ht="23.25" customHeight="1" spans="1:10">
      <c r="A11" s="295">
        <v>10109</v>
      </c>
      <c r="B11" s="296" t="s">
        <v>53</v>
      </c>
      <c r="C11" s="137">
        <v>4458</v>
      </c>
      <c r="D11" s="297">
        <v>3000</v>
      </c>
      <c r="E11" s="153">
        <v>2763</v>
      </c>
      <c r="F11" s="294">
        <f t="shared" si="1"/>
        <v>0.921</v>
      </c>
      <c r="G11" s="153">
        <v>4287</v>
      </c>
      <c r="H11" s="294">
        <f t="shared" si="2"/>
        <v>-0.355493351994402</v>
      </c>
      <c r="J11" s="303"/>
    </row>
    <row r="12" ht="23.25" customHeight="1" spans="1:10">
      <c r="A12" s="295">
        <v>10110</v>
      </c>
      <c r="B12" s="296" t="s">
        <v>54</v>
      </c>
      <c r="C12" s="137">
        <v>3284</v>
      </c>
      <c r="D12" s="297">
        <v>3476</v>
      </c>
      <c r="E12" s="298">
        <v>3662.02</v>
      </c>
      <c r="F12" s="294">
        <f t="shared" si="1"/>
        <v>1.05351553509781</v>
      </c>
      <c r="G12" s="298">
        <v>3181</v>
      </c>
      <c r="H12" s="294">
        <f t="shared" si="2"/>
        <v>0.151216598553914</v>
      </c>
      <c r="J12" s="303"/>
    </row>
    <row r="13" ht="23.25" customHeight="1" spans="1:10">
      <c r="A13" s="295">
        <v>10111</v>
      </c>
      <c r="B13" s="296" t="s">
        <v>55</v>
      </c>
      <c r="C13" s="137">
        <v>1759</v>
      </c>
      <c r="D13" s="297">
        <v>2300</v>
      </c>
      <c r="E13" s="298">
        <v>2518.40801</v>
      </c>
      <c r="F13" s="294">
        <f t="shared" si="1"/>
        <v>1.09496000434783</v>
      </c>
      <c r="G13" s="298">
        <v>1691</v>
      </c>
      <c r="H13" s="294">
        <f t="shared" si="2"/>
        <v>0.489301011235955</v>
      </c>
      <c r="J13" s="303"/>
    </row>
    <row r="14" ht="23.25" customHeight="1" spans="1:10">
      <c r="A14" s="295">
        <v>10112</v>
      </c>
      <c r="B14" s="296" t="s">
        <v>56</v>
      </c>
      <c r="C14" s="137">
        <v>2279</v>
      </c>
      <c r="D14" s="297">
        <v>2500</v>
      </c>
      <c r="E14" s="298">
        <v>2549</v>
      </c>
      <c r="F14" s="294">
        <f t="shared" si="1"/>
        <v>1.0196</v>
      </c>
      <c r="G14" s="298">
        <v>2191</v>
      </c>
      <c r="H14" s="294">
        <f t="shared" si="2"/>
        <v>0.163395709721588</v>
      </c>
      <c r="J14" s="303"/>
    </row>
    <row r="15" ht="23.25" customHeight="1" spans="1:10">
      <c r="A15" s="295">
        <v>10113</v>
      </c>
      <c r="B15" s="296" t="s">
        <v>57</v>
      </c>
      <c r="C15" s="137">
        <v>3560</v>
      </c>
      <c r="D15" s="297">
        <v>5500</v>
      </c>
      <c r="E15" s="298">
        <v>4721</v>
      </c>
      <c r="F15" s="294">
        <f t="shared" si="1"/>
        <v>0.858363636363636</v>
      </c>
      <c r="G15" s="298">
        <v>3423</v>
      </c>
      <c r="H15" s="294">
        <f t="shared" si="2"/>
        <v>0.379199532573766</v>
      </c>
      <c r="J15" s="303"/>
    </row>
    <row r="16" ht="23.25" customHeight="1" spans="1:10">
      <c r="A16" s="295">
        <v>10114</v>
      </c>
      <c r="B16" s="296" t="s">
        <v>58</v>
      </c>
      <c r="C16" s="137">
        <v>990</v>
      </c>
      <c r="D16" s="297">
        <v>990</v>
      </c>
      <c r="E16" s="298">
        <v>1039</v>
      </c>
      <c r="F16" s="294">
        <f t="shared" si="1"/>
        <v>1.04949494949495</v>
      </c>
      <c r="G16" s="298">
        <v>951</v>
      </c>
      <c r="H16" s="294">
        <f t="shared" si="2"/>
        <v>0.0925341745531021</v>
      </c>
      <c r="J16" s="303"/>
    </row>
    <row r="17" ht="23.25" customHeight="1" spans="1:10">
      <c r="A17" s="295">
        <v>10118</v>
      </c>
      <c r="B17" s="296" t="s">
        <v>59</v>
      </c>
      <c r="C17" s="137">
        <v>2394</v>
      </c>
      <c r="D17" s="297">
        <v>3014</v>
      </c>
      <c r="E17" s="298">
        <v>2567</v>
      </c>
      <c r="F17" s="294">
        <f t="shared" si="1"/>
        <v>0.851692103516921</v>
      </c>
      <c r="G17" s="298">
        <v>2302</v>
      </c>
      <c r="H17" s="294">
        <f t="shared" si="2"/>
        <v>0.11511728931364</v>
      </c>
      <c r="J17" s="303"/>
    </row>
    <row r="18" ht="23.25" customHeight="1" spans="1:10">
      <c r="A18" s="295">
        <v>10119</v>
      </c>
      <c r="B18" s="296" t="s">
        <v>60</v>
      </c>
      <c r="C18" s="137">
        <v>9994</v>
      </c>
      <c r="D18" s="297">
        <v>10000</v>
      </c>
      <c r="E18" s="298">
        <v>10141</v>
      </c>
      <c r="F18" s="294">
        <f t="shared" si="1"/>
        <v>1.0141</v>
      </c>
      <c r="G18" s="298">
        <v>9610</v>
      </c>
      <c r="H18" s="294">
        <f t="shared" si="2"/>
        <v>0.0552549427679501</v>
      </c>
      <c r="J18" s="303"/>
    </row>
    <row r="19" ht="23.25" customHeight="1" spans="1:10">
      <c r="A19" s="295">
        <v>10120</v>
      </c>
      <c r="B19" s="299" t="s">
        <v>61</v>
      </c>
      <c r="C19" s="137">
        <v>0</v>
      </c>
      <c r="D19" s="297">
        <v>0</v>
      </c>
      <c r="E19" s="298">
        <v>0.0299999999999727</v>
      </c>
      <c r="F19" s="294">
        <v>0</v>
      </c>
      <c r="G19" s="298">
        <v>301</v>
      </c>
      <c r="H19" s="294">
        <f t="shared" si="2"/>
        <v>-0.999900332225914</v>
      </c>
      <c r="J19" s="303"/>
    </row>
    <row r="20" ht="23.25" customHeight="1" spans="1:10">
      <c r="A20" s="295">
        <v>10121</v>
      </c>
      <c r="B20" s="299" t="s">
        <v>62</v>
      </c>
      <c r="C20" s="137">
        <v>285</v>
      </c>
      <c r="D20" s="297">
        <v>297</v>
      </c>
      <c r="E20" s="298">
        <v>293.094</v>
      </c>
      <c r="F20" s="294">
        <f t="shared" si="1"/>
        <v>0.986848484848485</v>
      </c>
      <c r="G20" s="298">
        <v>278</v>
      </c>
      <c r="H20" s="294">
        <f t="shared" si="2"/>
        <v>0.0542949640287769</v>
      </c>
      <c r="J20" s="303"/>
    </row>
    <row r="21" ht="23.25" customHeight="1" spans="1:10">
      <c r="A21" s="295">
        <v>103</v>
      </c>
      <c r="B21" s="295" t="s">
        <v>63</v>
      </c>
      <c r="C21" s="153">
        <f>SUM(C22:C28)</f>
        <v>20159</v>
      </c>
      <c r="D21" s="153">
        <f>SUM(D22:D28)</f>
        <v>27031</v>
      </c>
      <c r="E21" s="153">
        <f>SUM(E22:E28)</f>
        <v>33997.53</v>
      </c>
      <c r="F21" s="294">
        <f t="shared" ref="F21:F24" si="3">E21/D21</f>
        <v>1.25772372461248</v>
      </c>
      <c r="G21" s="199">
        <f>SUM(G22:G28)</f>
        <v>19369</v>
      </c>
      <c r="H21" s="294">
        <f t="shared" ref="H21:H24" si="4">E21/G21-1</f>
        <v>0.755254788579689</v>
      </c>
      <c r="J21" s="303"/>
    </row>
    <row r="22" ht="23.25" customHeight="1" spans="1:10">
      <c r="A22" s="295">
        <v>10302</v>
      </c>
      <c r="B22" s="296" t="s">
        <v>64</v>
      </c>
      <c r="C22" s="137">
        <v>5023</v>
      </c>
      <c r="D22" s="297">
        <v>2623</v>
      </c>
      <c r="E22" s="298">
        <v>3007</v>
      </c>
      <c r="F22" s="294">
        <f t="shared" si="3"/>
        <v>1.14639725505147</v>
      </c>
      <c r="G22" s="298">
        <v>5285</v>
      </c>
      <c r="H22" s="294">
        <f t="shared" si="4"/>
        <v>-0.431031220435194</v>
      </c>
      <c r="J22" s="304"/>
    </row>
    <row r="23" ht="23.25" customHeight="1" spans="1:10">
      <c r="A23" s="295">
        <v>10304</v>
      </c>
      <c r="B23" s="296" t="s">
        <v>65</v>
      </c>
      <c r="C23" s="137">
        <v>3196</v>
      </c>
      <c r="D23" s="297">
        <v>10329</v>
      </c>
      <c r="E23" s="298">
        <v>19036.69</v>
      </c>
      <c r="F23" s="294">
        <f t="shared" si="3"/>
        <v>1.8430332074741</v>
      </c>
      <c r="G23" s="298">
        <v>5152</v>
      </c>
      <c r="H23" s="294">
        <f t="shared" si="4"/>
        <v>2.69500970496894</v>
      </c>
      <c r="J23" s="303"/>
    </row>
    <row r="24" ht="23.25" customHeight="1" spans="1:10">
      <c r="A24" s="295">
        <v>10305</v>
      </c>
      <c r="B24" s="296" t="s">
        <v>66</v>
      </c>
      <c r="C24" s="137">
        <v>3311</v>
      </c>
      <c r="D24" s="297">
        <v>7363</v>
      </c>
      <c r="E24" s="298">
        <v>7999.81</v>
      </c>
      <c r="F24" s="294">
        <f t="shared" si="3"/>
        <v>1.08648784462855</v>
      </c>
      <c r="G24" s="298">
        <v>3345</v>
      </c>
      <c r="H24" s="294">
        <f t="shared" si="4"/>
        <v>1.39157249626308</v>
      </c>
      <c r="J24" s="303"/>
    </row>
    <row r="25" ht="23.25" customHeight="1" spans="1:10">
      <c r="A25" s="295">
        <v>10307</v>
      </c>
      <c r="B25" s="300" t="s">
        <v>67</v>
      </c>
      <c r="C25" s="137">
        <v>7162</v>
      </c>
      <c r="D25" s="297">
        <v>1562</v>
      </c>
      <c r="E25" s="298">
        <v>2373.1</v>
      </c>
      <c r="F25" s="294">
        <f t="shared" ref="F25:F28" si="5">E25/D25</f>
        <v>1.51927016645327</v>
      </c>
      <c r="G25" s="298">
        <v>3529</v>
      </c>
      <c r="H25" s="294">
        <f t="shared" ref="H25:H28" si="6">E25/G25-1</f>
        <v>-0.327543213374894</v>
      </c>
      <c r="J25" s="303"/>
    </row>
    <row r="26" ht="23.25" customHeight="1" spans="1:10">
      <c r="A26" s="295">
        <v>10308</v>
      </c>
      <c r="B26" s="301" t="s">
        <v>68</v>
      </c>
      <c r="C26" s="302">
        <v>0</v>
      </c>
      <c r="D26" s="297">
        <v>0</v>
      </c>
      <c r="E26" s="298">
        <v>0</v>
      </c>
      <c r="F26" s="294">
        <v>0</v>
      </c>
      <c r="G26" s="298">
        <v>10</v>
      </c>
      <c r="H26" s="294">
        <f t="shared" si="6"/>
        <v>-1</v>
      </c>
      <c r="J26" s="305"/>
    </row>
    <row r="27" ht="23.25" customHeight="1" spans="1:10">
      <c r="A27" s="295">
        <v>10309</v>
      </c>
      <c r="B27" s="301" t="s">
        <v>69</v>
      </c>
      <c r="C27" s="137">
        <v>650</v>
      </c>
      <c r="D27" s="297">
        <v>95</v>
      </c>
      <c r="E27" s="298">
        <v>347</v>
      </c>
      <c r="F27" s="294">
        <f t="shared" si="5"/>
        <v>3.65263157894737</v>
      </c>
      <c r="G27" s="298">
        <v>795</v>
      </c>
      <c r="H27" s="294">
        <f t="shared" si="6"/>
        <v>-0.563522012578616</v>
      </c>
      <c r="J27" s="303"/>
    </row>
    <row r="28" ht="23.25" customHeight="1" spans="1:10">
      <c r="A28" s="295">
        <v>10399</v>
      </c>
      <c r="B28" s="301" t="s">
        <v>70</v>
      </c>
      <c r="C28" s="137">
        <v>817</v>
      </c>
      <c r="D28" s="297">
        <v>5059</v>
      </c>
      <c r="E28" s="298">
        <v>1233.93</v>
      </c>
      <c r="F28" s="294">
        <f t="shared" si="5"/>
        <v>0.243907886934177</v>
      </c>
      <c r="G28" s="298">
        <v>1253</v>
      </c>
      <c r="H28" s="294">
        <f t="shared" si="6"/>
        <v>-0.015219473264166</v>
      </c>
      <c r="J28" s="303"/>
    </row>
  </sheetData>
  <mergeCells count="3">
    <mergeCell ref="A2:H2"/>
    <mergeCell ref="F3:H3"/>
    <mergeCell ref="A5:B5"/>
  </mergeCells>
  <pageMargins left="0.700694444444445" right="0.700694444444445" top="0.751388888888889" bottom="0.751388888888889" header="0.298611111111111" footer="0.298611111111111"/>
  <pageSetup paperSize="9" scale="91" fitToHeight="0" orientation="portrait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Y483"/>
  <sheetViews>
    <sheetView view="pageBreakPreview" zoomScaleNormal="100" workbookViewId="0">
      <pane ySplit="7" topLeftCell="A153" activePane="bottomLeft" state="frozen"/>
      <selection/>
      <selection pane="bottomLeft" activeCell="I7" sqref="I7"/>
    </sheetView>
  </sheetViews>
  <sheetFormatPr defaultColWidth="9" defaultRowHeight="14.25"/>
  <cols>
    <col min="1" max="1" width="14.5" customWidth="1"/>
    <col min="2" max="2" width="26.625" customWidth="1"/>
    <col min="3" max="3" width="11.5" customWidth="1"/>
    <col min="4" max="4" width="11.25" customWidth="1"/>
    <col min="5" max="5" width="11.5" customWidth="1"/>
    <col min="6" max="6" width="14.5" customWidth="1"/>
    <col min="7" max="7" width="14.125" customWidth="1"/>
    <col min="8" max="9" width="13.75" customWidth="1"/>
    <col min="10" max="10" width="14.5" customWidth="1"/>
    <col min="11" max="11" width="26.75" customWidth="1"/>
    <col min="12" max="12" width="27.25" customWidth="1"/>
    <col min="16379" max="16379" width="12.625"/>
  </cols>
  <sheetData>
    <row r="1" spans="1:11">
      <c r="A1" s="248" t="s">
        <v>11</v>
      </c>
      <c r="B1" s="249"/>
      <c r="C1" s="250"/>
      <c r="D1" s="250"/>
      <c r="E1" s="250"/>
      <c r="F1" s="250"/>
      <c r="G1" s="251"/>
      <c r="H1" s="250"/>
      <c r="I1" s="251"/>
      <c r="J1" s="250"/>
      <c r="K1" s="249"/>
    </row>
    <row r="2" ht="24" customHeight="1" spans="1:11">
      <c r="A2" s="252" t="s">
        <v>12</v>
      </c>
      <c r="B2" s="252"/>
      <c r="C2" s="253"/>
      <c r="D2" s="253"/>
      <c r="E2" s="253"/>
      <c r="F2" s="253"/>
      <c r="G2" s="254"/>
      <c r="H2" s="253"/>
      <c r="I2" s="254"/>
      <c r="J2" s="253"/>
      <c r="K2" s="276"/>
    </row>
    <row r="3" ht="14" customHeight="1" spans="1:11">
      <c r="A3" s="249"/>
      <c r="B3" s="249"/>
      <c r="C3" s="250"/>
      <c r="D3" s="250"/>
      <c r="E3" s="250"/>
      <c r="F3" s="250"/>
      <c r="G3" s="251"/>
      <c r="H3" s="250"/>
      <c r="I3" s="251"/>
      <c r="J3" s="277" t="s">
        <v>38</v>
      </c>
      <c r="K3" s="249"/>
    </row>
    <row r="4" ht="18" customHeight="1" spans="1:11">
      <c r="A4" s="255" t="s">
        <v>281</v>
      </c>
      <c r="B4" s="256"/>
      <c r="C4" s="257" t="s">
        <v>71</v>
      </c>
      <c r="D4" s="257"/>
      <c r="E4" s="257"/>
      <c r="F4" s="258" t="s">
        <v>43</v>
      </c>
      <c r="G4" s="259"/>
      <c r="H4" s="258"/>
      <c r="I4" s="259"/>
      <c r="J4" s="258"/>
      <c r="K4" s="278"/>
    </row>
    <row r="5" spans="1:11">
      <c r="A5" s="260" t="s">
        <v>39</v>
      </c>
      <c r="B5" s="261" t="s">
        <v>40</v>
      </c>
      <c r="C5" s="262" t="s">
        <v>41</v>
      </c>
      <c r="D5" s="262" t="s">
        <v>73</v>
      </c>
      <c r="E5" s="262" t="s">
        <v>74</v>
      </c>
      <c r="F5" s="262" t="s">
        <v>282</v>
      </c>
      <c r="G5" s="263" t="s">
        <v>76</v>
      </c>
      <c r="H5" s="262" t="s">
        <v>45</v>
      </c>
      <c r="I5" s="263" t="s">
        <v>283</v>
      </c>
      <c r="J5" s="262" t="s">
        <v>78</v>
      </c>
      <c r="K5" s="279" t="s">
        <v>72</v>
      </c>
    </row>
    <row r="6" ht="24" customHeight="1" spans="1:11">
      <c r="A6" s="264"/>
      <c r="B6" s="265"/>
      <c r="C6" s="262"/>
      <c r="D6" s="262"/>
      <c r="E6" s="262"/>
      <c r="F6" s="262"/>
      <c r="G6" s="263"/>
      <c r="H6" s="262"/>
      <c r="I6" s="263"/>
      <c r="J6" s="262"/>
      <c r="K6" s="280"/>
    </row>
    <row r="7" ht="43" customHeight="1" spans="1:16379">
      <c r="A7" s="266" t="s">
        <v>284</v>
      </c>
      <c r="B7" s="267"/>
      <c r="C7" s="268">
        <f t="shared" ref="C7:F7" si="0">C8+C92+C117+C143+C153+C174+C240+C276+C305+C318+C375+C389+C404+C414+C417+C428+C439+C452+C474+C475+C479+C482</f>
        <v>168972.983522</v>
      </c>
      <c r="D7" s="268">
        <f t="shared" si="0"/>
        <v>162857.412981818</v>
      </c>
      <c r="E7" s="268">
        <f t="shared" si="0"/>
        <v>87741.649559</v>
      </c>
      <c r="F7" s="268">
        <f t="shared" si="0"/>
        <v>149787.109639</v>
      </c>
      <c r="G7" s="269">
        <f t="shared" ref="G7:G13" si="1">F7/D7</f>
        <v>0.91974388452138</v>
      </c>
      <c r="H7" s="268">
        <f>H8+H92+H117+H143+H153+H174+H240+H276+H305+H318+H375+H389+H404+H414+H417+H428+H439+H452+H474+H475+H479+H482</f>
        <v>210062.529417</v>
      </c>
      <c r="I7" s="269">
        <f t="shared" ref="I7:I16" si="2">F7/H7-1</f>
        <v>-0.286940369352336</v>
      </c>
      <c r="J7" s="268">
        <f>J8+J92+J117+J143+J153+J174+J240+J276+J305+J318+J375+J389+J404+J414+J417+J428+J439+J452+J474+J475+J479+J482</f>
        <v>41837.243732</v>
      </c>
      <c r="K7" s="281" t="s">
        <v>285</v>
      </c>
      <c r="XEY7">
        <f>SUM(M7:XEX7)</f>
        <v>0</v>
      </c>
    </row>
    <row r="8" ht="22" customHeight="1" spans="1:11">
      <c r="A8" s="270">
        <v>201</v>
      </c>
      <c r="B8" s="271" t="s">
        <v>286</v>
      </c>
      <c r="C8" s="272">
        <v>29626.503893</v>
      </c>
      <c r="D8" s="272">
        <v>26762.7659318182</v>
      </c>
      <c r="E8" s="272">
        <v>905.0966</v>
      </c>
      <c r="F8" s="273">
        <v>24585.58291</v>
      </c>
      <c r="G8" s="269">
        <f t="shared" si="1"/>
        <v>0.918648803813295</v>
      </c>
      <c r="H8" s="272">
        <v>33685.695797</v>
      </c>
      <c r="I8" s="269">
        <f t="shared" si="2"/>
        <v>-0.27014768944777</v>
      </c>
      <c r="J8" s="273">
        <v>305.127448</v>
      </c>
      <c r="K8" s="281"/>
    </row>
    <row r="9" ht="22" customHeight="1" spans="1:11">
      <c r="A9" s="270">
        <v>20101</v>
      </c>
      <c r="B9" s="271" t="s">
        <v>287</v>
      </c>
      <c r="C9" s="268">
        <v>1117.286296</v>
      </c>
      <c r="D9" s="268">
        <v>784.481096</v>
      </c>
      <c r="E9" s="268">
        <v>113.768</v>
      </c>
      <c r="F9" s="273">
        <v>781.193435</v>
      </c>
      <c r="G9" s="269">
        <f t="shared" si="1"/>
        <v>0.995809126546499</v>
      </c>
      <c r="H9" s="272">
        <v>868.283886</v>
      </c>
      <c r="I9" s="269">
        <f t="shared" si="2"/>
        <v>-0.100301816495993</v>
      </c>
      <c r="J9" s="273">
        <v>15.705649</v>
      </c>
      <c r="K9" s="282"/>
    </row>
    <row r="10" ht="22" customHeight="1" spans="1:11">
      <c r="A10" s="270">
        <v>2010101</v>
      </c>
      <c r="B10" s="271" t="s">
        <v>288</v>
      </c>
      <c r="C10" s="268">
        <v>573.097884</v>
      </c>
      <c r="D10" s="268">
        <v>562.417684</v>
      </c>
      <c r="E10" s="268">
        <v>0</v>
      </c>
      <c r="F10" s="273">
        <v>560.244795</v>
      </c>
      <c r="G10" s="269">
        <f t="shared" si="1"/>
        <v>0.996136520842399</v>
      </c>
      <c r="H10" s="273">
        <v>705.211766</v>
      </c>
      <c r="I10" s="269">
        <f t="shared" si="2"/>
        <v>-0.205565162110469</v>
      </c>
      <c r="J10" s="273">
        <v>0</v>
      </c>
      <c r="K10" s="282"/>
    </row>
    <row r="11" ht="22" customHeight="1" spans="1:11">
      <c r="A11" s="270">
        <v>2010102</v>
      </c>
      <c r="B11" s="271" t="s">
        <v>289</v>
      </c>
      <c r="C11" s="268">
        <v>500</v>
      </c>
      <c r="D11" s="268">
        <v>177.3</v>
      </c>
      <c r="E11" s="268">
        <v>37.038</v>
      </c>
      <c r="F11" s="273">
        <v>176.904</v>
      </c>
      <c r="G11" s="269">
        <f t="shared" si="1"/>
        <v>0.997766497461929</v>
      </c>
      <c r="H11" s="273">
        <v>112.5</v>
      </c>
      <c r="I11" s="269">
        <f t="shared" si="2"/>
        <v>0.57248</v>
      </c>
      <c r="J11" s="273">
        <v>1.87</v>
      </c>
      <c r="K11" s="282"/>
    </row>
    <row r="12" ht="22" customHeight="1" spans="1:11">
      <c r="A12" s="270">
        <v>2010104</v>
      </c>
      <c r="B12" s="271" t="s">
        <v>290</v>
      </c>
      <c r="C12" s="268">
        <v>35</v>
      </c>
      <c r="D12" s="268">
        <v>35</v>
      </c>
      <c r="E12" s="268">
        <v>0</v>
      </c>
      <c r="F12" s="273">
        <v>35</v>
      </c>
      <c r="G12" s="269">
        <f t="shared" si="1"/>
        <v>1</v>
      </c>
      <c r="H12" s="273">
        <v>27.8</v>
      </c>
      <c r="I12" s="269">
        <f t="shared" si="2"/>
        <v>0.258992805755396</v>
      </c>
      <c r="J12" s="273">
        <v>0</v>
      </c>
      <c r="K12" s="282"/>
    </row>
    <row r="13" ht="22" customHeight="1" spans="1:11">
      <c r="A13" s="274">
        <v>2010150</v>
      </c>
      <c r="B13" s="271" t="s">
        <v>291</v>
      </c>
      <c r="C13" s="268">
        <v>9.188412</v>
      </c>
      <c r="D13" s="268">
        <v>9.763412</v>
      </c>
      <c r="E13" s="268">
        <v>0</v>
      </c>
      <c r="F13" s="273">
        <v>9.04464</v>
      </c>
      <c r="G13" s="269">
        <f t="shared" si="1"/>
        <v>0.926381064324644</v>
      </c>
      <c r="H13" s="273">
        <v>12.77212</v>
      </c>
      <c r="I13" s="269">
        <f t="shared" si="2"/>
        <v>-0.29184504999953</v>
      </c>
      <c r="J13" s="273">
        <v>0</v>
      </c>
      <c r="K13" s="278"/>
    </row>
    <row r="14" ht="22" customHeight="1" spans="1:11">
      <c r="A14" s="270">
        <v>2010199</v>
      </c>
      <c r="B14" s="271" t="s">
        <v>292</v>
      </c>
      <c r="C14" s="268">
        <v>0</v>
      </c>
      <c r="D14" s="268">
        <v>0</v>
      </c>
      <c r="E14" s="268">
        <v>76.73</v>
      </c>
      <c r="F14" s="273">
        <v>0</v>
      </c>
      <c r="G14" s="269">
        <v>0</v>
      </c>
      <c r="H14" s="273">
        <v>10</v>
      </c>
      <c r="I14" s="269">
        <f t="shared" si="2"/>
        <v>-1</v>
      </c>
      <c r="J14" s="273">
        <v>13.835649</v>
      </c>
      <c r="K14" s="278"/>
    </row>
    <row r="15" ht="22" customHeight="1" spans="1:11">
      <c r="A15" s="270">
        <v>20102</v>
      </c>
      <c r="B15" s="271" t="s">
        <v>293</v>
      </c>
      <c r="C15" s="268">
        <v>673.342064</v>
      </c>
      <c r="D15" s="268">
        <v>775.073297</v>
      </c>
      <c r="E15" s="268">
        <v>11</v>
      </c>
      <c r="F15" s="273">
        <v>719.167314</v>
      </c>
      <c r="G15" s="269">
        <f>F15/D15</f>
        <v>0.927870069558079</v>
      </c>
      <c r="H15" s="273">
        <v>803.923572</v>
      </c>
      <c r="I15" s="269">
        <f t="shared" si="2"/>
        <v>-0.105428253321573</v>
      </c>
      <c r="J15" s="273">
        <v>0</v>
      </c>
      <c r="K15" s="278"/>
    </row>
    <row r="16" ht="22" customHeight="1" spans="1:11">
      <c r="A16" s="270">
        <v>2010201</v>
      </c>
      <c r="B16" s="271" t="s">
        <v>288</v>
      </c>
      <c r="C16" s="268">
        <v>653.342064</v>
      </c>
      <c r="D16" s="268">
        <v>695.073297</v>
      </c>
      <c r="E16" s="268">
        <v>0</v>
      </c>
      <c r="F16" s="273">
        <v>660.529614</v>
      </c>
      <c r="G16" s="269">
        <f>F16/D16</f>
        <v>0.950302100297776</v>
      </c>
      <c r="H16" s="273">
        <v>781.340122</v>
      </c>
      <c r="I16" s="269">
        <f t="shared" si="2"/>
        <v>-0.154619613915078</v>
      </c>
      <c r="J16" s="273">
        <v>0</v>
      </c>
      <c r="K16" s="278"/>
    </row>
    <row r="17" ht="22" customHeight="1" spans="1:11">
      <c r="A17" s="270">
        <v>2010202</v>
      </c>
      <c r="B17" s="275" t="s">
        <v>294</v>
      </c>
      <c r="C17" s="268">
        <v>0</v>
      </c>
      <c r="D17" s="268">
        <v>60</v>
      </c>
      <c r="E17" s="268">
        <v>1</v>
      </c>
      <c r="F17" s="273">
        <v>40</v>
      </c>
      <c r="G17" s="269">
        <f>F17/D17</f>
        <v>0.666666666666667</v>
      </c>
      <c r="H17" s="273">
        <v>0</v>
      </c>
      <c r="I17" s="269">
        <v>0</v>
      </c>
      <c r="J17" s="273">
        <v>0</v>
      </c>
      <c r="K17" s="278"/>
    </row>
    <row r="18" ht="22" customHeight="1" spans="1:11">
      <c r="A18" s="270">
        <v>2010204</v>
      </c>
      <c r="B18" s="271" t="s">
        <v>295</v>
      </c>
      <c r="C18" s="268">
        <v>20</v>
      </c>
      <c r="D18" s="268">
        <v>20</v>
      </c>
      <c r="E18" s="268">
        <v>0</v>
      </c>
      <c r="F18" s="273">
        <v>18.6377</v>
      </c>
      <c r="G18" s="269">
        <f>F18/D18</f>
        <v>0.931885</v>
      </c>
      <c r="H18" s="273">
        <v>12.58345</v>
      </c>
      <c r="I18" s="269">
        <f t="shared" ref="I18:I24" si="3">F18/H18-1</f>
        <v>0.481127989541819</v>
      </c>
      <c r="J18" s="273">
        <v>0</v>
      </c>
      <c r="K18" s="278"/>
    </row>
    <row r="19" ht="22" customHeight="1" spans="1:11">
      <c r="A19" s="270">
        <v>2010299</v>
      </c>
      <c r="B19" s="271" t="s">
        <v>296</v>
      </c>
      <c r="C19" s="268">
        <v>0</v>
      </c>
      <c r="D19" s="268">
        <v>0</v>
      </c>
      <c r="E19" s="268">
        <v>10</v>
      </c>
      <c r="F19" s="273">
        <v>0</v>
      </c>
      <c r="G19" s="269">
        <v>0</v>
      </c>
      <c r="H19" s="273">
        <v>10</v>
      </c>
      <c r="I19" s="269">
        <f t="shared" si="3"/>
        <v>-1</v>
      </c>
      <c r="J19" s="273">
        <v>0</v>
      </c>
      <c r="K19" s="278"/>
    </row>
    <row r="20" ht="22" customHeight="1" spans="1:11">
      <c r="A20" s="270">
        <v>20103</v>
      </c>
      <c r="B20" s="271" t="s">
        <v>297</v>
      </c>
      <c r="C20" s="268">
        <v>9743.274147</v>
      </c>
      <c r="D20" s="268">
        <v>10479.6446518182</v>
      </c>
      <c r="E20" s="268">
        <v>0</v>
      </c>
      <c r="F20" s="273">
        <v>10272.611326</v>
      </c>
      <c r="G20" s="269">
        <f>F20/D20</f>
        <v>0.980244241794756</v>
      </c>
      <c r="H20" s="273">
        <v>14978.68408</v>
      </c>
      <c r="I20" s="269">
        <f t="shared" si="3"/>
        <v>-0.314184659270816</v>
      </c>
      <c r="J20" s="273">
        <v>0</v>
      </c>
      <c r="K20" s="278"/>
    </row>
    <row r="21" ht="22" customHeight="1" spans="1:11">
      <c r="A21" s="270">
        <v>2010301</v>
      </c>
      <c r="B21" s="271" t="s">
        <v>288</v>
      </c>
      <c r="C21" s="268">
        <v>4842.898055</v>
      </c>
      <c r="D21" s="268">
        <v>4933.87125781818</v>
      </c>
      <c r="E21" s="268">
        <v>0</v>
      </c>
      <c r="F21" s="273">
        <v>4933.754903</v>
      </c>
      <c r="G21" s="269">
        <f>F21/D21</f>
        <v>0.999976417135328</v>
      </c>
      <c r="H21" s="273">
        <v>7150.449774</v>
      </c>
      <c r="I21" s="269">
        <f t="shared" si="3"/>
        <v>-0.310007753506668</v>
      </c>
      <c r="J21" s="273">
        <v>0</v>
      </c>
      <c r="K21" s="278"/>
    </row>
    <row r="22" ht="21" customHeight="1" spans="1:11">
      <c r="A22" s="270">
        <v>2010302</v>
      </c>
      <c r="B22" s="271" t="s">
        <v>294</v>
      </c>
      <c r="C22" s="268">
        <v>2029.67</v>
      </c>
      <c r="D22" s="268">
        <v>2476.021606</v>
      </c>
      <c r="E22" s="268">
        <v>0</v>
      </c>
      <c r="F22" s="273">
        <v>2300.847883</v>
      </c>
      <c r="G22" s="269">
        <f>F22/D22</f>
        <v>0.929251940865333</v>
      </c>
      <c r="H22" s="273">
        <v>4362.818978</v>
      </c>
      <c r="I22" s="269">
        <f t="shared" si="3"/>
        <v>-0.472623573290049</v>
      </c>
      <c r="J22" s="273">
        <v>0</v>
      </c>
      <c r="K22" s="278"/>
    </row>
    <row r="23" ht="22" customHeight="1" spans="1:11">
      <c r="A23" s="270">
        <v>2010303</v>
      </c>
      <c r="B23" s="271" t="s">
        <v>298</v>
      </c>
      <c r="C23" s="268">
        <v>0</v>
      </c>
      <c r="D23" s="268">
        <v>0</v>
      </c>
      <c r="E23" s="268">
        <v>0</v>
      </c>
      <c r="F23" s="273">
        <v>0</v>
      </c>
      <c r="G23" s="269">
        <v>0</v>
      </c>
      <c r="H23" s="273">
        <v>129.872</v>
      </c>
      <c r="I23" s="269">
        <f t="shared" si="3"/>
        <v>-1</v>
      </c>
      <c r="J23" s="273">
        <v>0</v>
      </c>
      <c r="K23" s="278"/>
    </row>
    <row r="24" ht="22" customHeight="1" spans="1:11">
      <c r="A24" s="270">
        <v>2010306</v>
      </c>
      <c r="B24" s="271" t="s">
        <v>299</v>
      </c>
      <c r="C24" s="268">
        <v>0</v>
      </c>
      <c r="D24" s="268">
        <v>0</v>
      </c>
      <c r="E24" s="268">
        <v>0</v>
      </c>
      <c r="F24" s="273">
        <v>0</v>
      </c>
      <c r="G24" s="269">
        <v>0</v>
      </c>
      <c r="H24" s="273">
        <v>64.407164</v>
      </c>
      <c r="I24" s="269">
        <f t="shared" si="3"/>
        <v>-1</v>
      </c>
      <c r="J24" s="273">
        <v>0</v>
      </c>
      <c r="K24" s="278"/>
    </row>
    <row r="25" ht="22" customHeight="1" spans="1:11">
      <c r="A25" s="270">
        <v>2010308</v>
      </c>
      <c r="B25" s="271" t="s">
        <v>300</v>
      </c>
      <c r="C25" s="268">
        <v>321.420431</v>
      </c>
      <c r="D25" s="268">
        <v>370.250127</v>
      </c>
      <c r="E25" s="268">
        <v>0</v>
      </c>
      <c r="F25" s="273">
        <v>377.41667</v>
      </c>
      <c r="G25" s="269">
        <f>F25/D25</f>
        <v>1.01935595014664</v>
      </c>
      <c r="H25" s="273">
        <v>629.946596</v>
      </c>
      <c r="I25" s="269">
        <f t="shared" ref="I25:I42" si="4">F25/H25-1</f>
        <v>-0.40087513386611</v>
      </c>
      <c r="J25" s="273">
        <v>0</v>
      </c>
      <c r="K25" s="278"/>
    </row>
    <row r="26" ht="22" customHeight="1" spans="1:11">
      <c r="A26" s="270">
        <v>2010350</v>
      </c>
      <c r="B26" s="271" t="s">
        <v>291</v>
      </c>
      <c r="C26" s="268">
        <v>2549.285661</v>
      </c>
      <c r="D26" s="268">
        <v>2699.501661</v>
      </c>
      <c r="E26" s="268">
        <v>0</v>
      </c>
      <c r="F26" s="273">
        <v>2660.59187</v>
      </c>
      <c r="G26" s="269">
        <f>F26/D26</f>
        <v>0.985586305960788</v>
      </c>
      <c r="H26" s="273">
        <v>2641.189568</v>
      </c>
      <c r="I26" s="269">
        <f t="shared" si="4"/>
        <v>0.00734604673404515</v>
      </c>
      <c r="J26" s="273">
        <v>0</v>
      </c>
      <c r="K26" s="278"/>
    </row>
    <row r="27" ht="22" customHeight="1" spans="1:11">
      <c r="A27" s="270">
        <v>20104</v>
      </c>
      <c r="B27" s="271" t="s">
        <v>301</v>
      </c>
      <c r="C27" s="268">
        <v>141.32</v>
      </c>
      <c r="D27" s="268">
        <v>145.66</v>
      </c>
      <c r="E27" s="268">
        <v>1.86</v>
      </c>
      <c r="F27" s="273">
        <v>49.34</v>
      </c>
      <c r="G27" s="269">
        <f>F27/D27</f>
        <v>0.338734038171083</v>
      </c>
      <c r="H27" s="273">
        <v>143.82659</v>
      </c>
      <c r="I27" s="269">
        <f t="shared" si="4"/>
        <v>-0.656947995499302</v>
      </c>
      <c r="J27" s="273">
        <v>1.86</v>
      </c>
      <c r="K27" s="278"/>
    </row>
    <row r="28" ht="22" customHeight="1" spans="1:11">
      <c r="A28" s="274">
        <v>2010401</v>
      </c>
      <c r="B28" s="271" t="s">
        <v>288</v>
      </c>
      <c r="C28" s="268">
        <v>0</v>
      </c>
      <c r="D28" s="268">
        <v>0</v>
      </c>
      <c r="E28" s="268">
        <v>0</v>
      </c>
      <c r="F28" s="273">
        <v>0</v>
      </c>
      <c r="G28" s="269">
        <v>0</v>
      </c>
      <c r="H28" s="273">
        <v>79.62659</v>
      </c>
      <c r="I28" s="269">
        <f t="shared" si="4"/>
        <v>-1</v>
      </c>
      <c r="J28" s="273">
        <v>0</v>
      </c>
      <c r="K28" s="278"/>
    </row>
    <row r="29" ht="22" customHeight="1" spans="1:11">
      <c r="A29" s="270">
        <v>2010404</v>
      </c>
      <c r="B29" s="271" t="s">
        <v>302</v>
      </c>
      <c r="C29" s="268">
        <v>100</v>
      </c>
      <c r="D29" s="268">
        <v>100</v>
      </c>
      <c r="E29" s="268">
        <v>0</v>
      </c>
      <c r="F29" s="273">
        <v>10</v>
      </c>
      <c r="G29" s="269">
        <f t="shared" ref="G29:G40" si="5">F29/D29</f>
        <v>0.1</v>
      </c>
      <c r="H29" s="273">
        <v>14.2</v>
      </c>
      <c r="I29" s="269">
        <f t="shared" si="4"/>
        <v>-0.295774647887324</v>
      </c>
      <c r="J29" s="273">
        <v>0</v>
      </c>
      <c r="K29" s="278"/>
    </row>
    <row r="30" ht="22" customHeight="1" spans="1:11">
      <c r="A30" s="270">
        <v>2010408</v>
      </c>
      <c r="B30" s="271" t="s">
        <v>303</v>
      </c>
      <c r="C30" s="268">
        <v>1.32</v>
      </c>
      <c r="D30" s="268">
        <v>1.32</v>
      </c>
      <c r="E30" s="268">
        <v>0</v>
      </c>
      <c r="F30" s="273">
        <v>0</v>
      </c>
      <c r="G30" s="269">
        <f t="shared" si="5"/>
        <v>0</v>
      </c>
      <c r="H30" s="273">
        <v>0</v>
      </c>
      <c r="I30" s="269">
        <v>0</v>
      </c>
      <c r="J30" s="273">
        <v>0</v>
      </c>
      <c r="K30" s="278"/>
    </row>
    <row r="31" ht="22" customHeight="1" spans="1:11">
      <c r="A31" s="270">
        <v>2010499</v>
      </c>
      <c r="B31" s="271" t="s">
        <v>304</v>
      </c>
      <c r="C31" s="268">
        <v>40</v>
      </c>
      <c r="D31" s="268">
        <v>44.34</v>
      </c>
      <c r="E31" s="268">
        <v>1.86</v>
      </c>
      <c r="F31" s="273">
        <v>39.34</v>
      </c>
      <c r="G31" s="269">
        <f t="shared" si="5"/>
        <v>0.8872350022553</v>
      </c>
      <c r="H31" s="273">
        <v>50</v>
      </c>
      <c r="I31" s="269">
        <f t="shared" si="4"/>
        <v>-0.2132</v>
      </c>
      <c r="J31" s="273">
        <v>1.86</v>
      </c>
      <c r="K31" s="278"/>
    </row>
    <row r="32" ht="22" customHeight="1" spans="1:11">
      <c r="A32" s="270">
        <v>20105</v>
      </c>
      <c r="B32" s="271" t="s">
        <v>305</v>
      </c>
      <c r="C32" s="268">
        <v>531.86228</v>
      </c>
      <c r="D32" s="268">
        <v>564.02693</v>
      </c>
      <c r="E32" s="268">
        <v>0</v>
      </c>
      <c r="F32" s="273">
        <v>524.263146</v>
      </c>
      <c r="G32" s="269">
        <f t="shared" si="5"/>
        <v>0.929500203119734</v>
      </c>
      <c r="H32" s="273">
        <v>569.220953</v>
      </c>
      <c r="I32" s="269">
        <f t="shared" si="4"/>
        <v>-0.0789812932272717</v>
      </c>
      <c r="J32" s="273">
        <v>0</v>
      </c>
      <c r="K32" s="278"/>
    </row>
    <row r="33" ht="22" customHeight="1" spans="1:11">
      <c r="A33" s="270">
        <v>2010501</v>
      </c>
      <c r="B33" s="271" t="s">
        <v>288</v>
      </c>
      <c r="C33" s="268">
        <v>395.24228</v>
      </c>
      <c r="D33" s="268">
        <v>417.69893</v>
      </c>
      <c r="E33" s="268">
        <v>0</v>
      </c>
      <c r="F33" s="273">
        <v>413.531546</v>
      </c>
      <c r="G33" s="269">
        <f t="shared" si="5"/>
        <v>0.990022995749594</v>
      </c>
      <c r="H33" s="273">
        <v>458.288023</v>
      </c>
      <c r="I33" s="269">
        <f t="shared" si="4"/>
        <v>-0.0976601498486031</v>
      </c>
      <c r="J33" s="273">
        <v>0</v>
      </c>
      <c r="K33" s="278"/>
    </row>
    <row r="34" ht="22" customHeight="1" spans="1:11">
      <c r="A34" s="270">
        <v>2010505</v>
      </c>
      <c r="B34" s="271" t="s">
        <v>306</v>
      </c>
      <c r="C34" s="268">
        <v>38.52</v>
      </c>
      <c r="D34" s="268">
        <v>48.228</v>
      </c>
      <c r="E34" s="268">
        <v>0</v>
      </c>
      <c r="F34" s="273">
        <v>48.228</v>
      </c>
      <c r="G34" s="269">
        <f t="shared" si="5"/>
        <v>1</v>
      </c>
      <c r="H34" s="273">
        <v>30.9533</v>
      </c>
      <c r="I34" s="269">
        <f t="shared" si="4"/>
        <v>0.558089121353782</v>
      </c>
      <c r="J34" s="273">
        <v>0</v>
      </c>
      <c r="K34" s="278"/>
    </row>
    <row r="35" ht="22" customHeight="1" spans="1:11">
      <c r="A35" s="270">
        <v>2010507</v>
      </c>
      <c r="B35" s="271" t="s">
        <v>307</v>
      </c>
      <c r="C35" s="268">
        <v>98.1</v>
      </c>
      <c r="D35" s="268">
        <v>98.1</v>
      </c>
      <c r="E35" s="268">
        <v>0</v>
      </c>
      <c r="F35" s="273">
        <v>62.5036</v>
      </c>
      <c r="G35" s="269">
        <f t="shared" si="5"/>
        <v>0.637141692150866</v>
      </c>
      <c r="H35" s="273">
        <v>79.97963</v>
      </c>
      <c r="I35" s="269">
        <f t="shared" si="4"/>
        <v>-0.218506012093329</v>
      </c>
      <c r="J35" s="273">
        <v>0</v>
      </c>
      <c r="K35" s="278"/>
    </row>
    <row r="36" ht="27" customHeight="1" spans="1:11">
      <c r="A36" s="270">
        <v>20106</v>
      </c>
      <c r="B36" s="271" t="s">
        <v>308</v>
      </c>
      <c r="C36" s="268">
        <v>1665.500475</v>
      </c>
      <c r="D36" s="268">
        <v>1655.996379</v>
      </c>
      <c r="E36" s="268">
        <v>52</v>
      </c>
      <c r="F36" s="273">
        <v>1466.448742</v>
      </c>
      <c r="G36" s="269">
        <f t="shared" si="5"/>
        <v>0.885538616265296</v>
      </c>
      <c r="H36" s="273">
        <v>2269.841887</v>
      </c>
      <c r="I36" s="269">
        <f t="shared" si="4"/>
        <v>-0.3539423382753</v>
      </c>
      <c r="J36" s="273">
        <v>28</v>
      </c>
      <c r="K36" s="278"/>
    </row>
    <row r="37" ht="22" customHeight="1" spans="1:11">
      <c r="A37" s="270">
        <v>2010601</v>
      </c>
      <c r="B37" s="271" t="s">
        <v>288</v>
      </c>
      <c r="C37" s="268">
        <v>1365.580475</v>
      </c>
      <c r="D37" s="268">
        <v>1402.236959</v>
      </c>
      <c r="E37" s="268">
        <v>0</v>
      </c>
      <c r="F37" s="273">
        <v>1367.379527</v>
      </c>
      <c r="G37" s="269">
        <f t="shared" si="5"/>
        <v>0.975141553803532</v>
      </c>
      <c r="H37" s="273">
        <v>1970.781961</v>
      </c>
      <c r="I37" s="269">
        <f t="shared" si="4"/>
        <v>-0.306174120699697</v>
      </c>
      <c r="J37" s="273">
        <v>0</v>
      </c>
      <c r="K37" s="278"/>
    </row>
    <row r="38" ht="46" customHeight="1" spans="1:11">
      <c r="A38" s="270">
        <v>2010602</v>
      </c>
      <c r="B38" s="271" t="s">
        <v>294</v>
      </c>
      <c r="C38" s="268">
        <v>105.5</v>
      </c>
      <c r="D38" s="268">
        <v>97.0833</v>
      </c>
      <c r="E38" s="268">
        <v>0</v>
      </c>
      <c r="F38" s="273">
        <v>64.445795</v>
      </c>
      <c r="G38" s="269">
        <f t="shared" si="5"/>
        <v>0.663819575560369</v>
      </c>
      <c r="H38" s="273">
        <v>78.38624</v>
      </c>
      <c r="I38" s="269">
        <f t="shared" si="4"/>
        <v>-0.177843011732671</v>
      </c>
      <c r="J38" s="273">
        <v>0</v>
      </c>
      <c r="K38" s="278"/>
    </row>
    <row r="39" ht="22" customHeight="1" spans="1:11">
      <c r="A39" s="270">
        <v>2010608</v>
      </c>
      <c r="B39" s="271" t="s">
        <v>309</v>
      </c>
      <c r="C39" s="268">
        <v>150</v>
      </c>
      <c r="D39" s="268">
        <v>130.676</v>
      </c>
      <c r="E39" s="268">
        <v>0</v>
      </c>
      <c r="F39" s="273">
        <v>7.676</v>
      </c>
      <c r="G39" s="269">
        <f t="shared" si="5"/>
        <v>0.0587407021947412</v>
      </c>
      <c r="H39" s="273">
        <v>220.673686</v>
      </c>
      <c r="I39" s="269">
        <f t="shared" si="4"/>
        <v>-0.965215607990524</v>
      </c>
      <c r="J39" s="273">
        <v>0</v>
      </c>
      <c r="K39" s="278"/>
    </row>
    <row r="40" ht="22" customHeight="1" spans="1:11">
      <c r="A40" s="270">
        <v>2010650</v>
      </c>
      <c r="B40" s="271" t="s">
        <v>310</v>
      </c>
      <c r="C40" s="268">
        <v>44.42</v>
      </c>
      <c r="D40" s="268">
        <v>26.00012</v>
      </c>
      <c r="E40" s="268"/>
      <c r="F40" s="273">
        <v>26.94742</v>
      </c>
      <c r="G40" s="269">
        <f t="shared" si="5"/>
        <v>1.03643444722563</v>
      </c>
      <c r="H40" s="273">
        <v>0</v>
      </c>
      <c r="I40" s="269"/>
      <c r="J40" s="273"/>
      <c r="K40" s="278"/>
    </row>
    <row r="41" ht="22" customHeight="1" spans="1:11">
      <c r="A41" s="270">
        <v>2010699</v>
      </c>
      <c r="B41" s="271" t="s">
        <v>311</v>
      </c>
      <c r="C41" s="268">
        <v>0</v>
      </c>
      <c r="D41" s="268">
        <v>0</v>
      </c>
      <c r="E41" s="268">
        <v>52</v>
      </c>
      <c r="F41" s="273">
        <v>0</v>
      </c>
      <c r="G41" s="269">
        <v>0</v>
      </c>
      <c r="H41" s="273">
        <v>0</v>
      </c>
      <c r="I41" s="269">
        <v>0</v>
      </c>
      <c r="J41" s="273">
        <v>28</v>
      </c>
      <c r="K41" s="278"/>
    </row>
    <row r="42" ht="22" customHeight="1" spans="1:11">
      <c r="A42" s="270">
        <v>20107</v>
      </c>
      <c r="B42" s="271" t="s">
        <v>312</v>
      </c>
      <c r="C42" s="268">
        <v>911.5522</v>
      </c>
      <c r="D42" s="268">
        <v>818.5925</v>
      </c>
      <c r="E42" s="268">
        <v>0</v>
      </c>
      <c r="F42" s="273">
        <v>847.546217</v>
      </c>
      <c r="G42" s="269">
        <f>F42/D42</f>
        <v>1.03537012249685</v>
      </c>
      <c r="H42" s="273">
        <v>747.785</v>
      </c>
      <c r="I42" s="269">
        <f t="shared" ref="I42:I54" si="6">(F42-H42)/H42</f>
        <v>0.133408957120028</v>
      </c>
      <c r="J42" s="273">
        <v>0</v>
      </c>
      <c r="K42" s="278"/>
    </row>
    <row r="43" ht="22" customHeight="1" spans="1:11">
      <c r="A43" s="270">
        <v>2010701</v>
      </c>
      <c r="B43" s="271" t="s">
        <v>288</v>
      </c>
      <c r="C43" s="268">
        <v>911.5522</v>
      </c>
      <c r="D43" s="268">
        <v>818.5925</v>
      </c>
      <c r="E43" s="268">
        <v>0</v>
      </c>
      <c r="F43" s="273">
        <v>847.546217</v>
      </c>
      <c r="G43" s="269">
        <f>F43/D43</f>
        <v>1.03537012249685</v>
      </c>
      <c r="H43" s="273">
        <v>747.785</v>
      </c>
      <c r="I43" s="269">
        <f t="shared" si="6"/>
        <v>0.133408957120028</v>
      </c>
      <c r="J43" s="273">
        <v>0</v>
      </c>
      <c r="K43" s="278"/>
    </row>
    <row r="44" ht="22" customHeight="1" spans="1:11">
      <c r="A44" s="270">
        <v>20108</v>
      </c>
      <c r="B44" s="271" t="s">
        <v>313</v>
      </c>
      <c r="C44" s="268">
        <v>0</v>
      </c>
      <c r="D44" s="268">
        <v>0</v>
      </c>
      <c r="E44" s="268">
        <v>0</v>
      </c>
      <c r="F44" s="273">
        <v>0</v>
      </c>
      <c r="G44" s="269">
        <v>0</v>
      </c>
      <c r="H44" s="273">
        <v>8.8</v>
      </c>
      <c r="I44" s="269">
        <f t="shared" si="6"/>
        <v>-1</v>
      </c>
      <c r="J44" s="273">
        <v>0</v>
      </c>
      <c r="K44" s="278"/>
    </row>
    <row r="45" ht="22" customHeight="1" spans="1:11">
      <c r="A45" s="270">
        <v>2010801</v>
      </c>
      <c r="B45" s="271" t="s">
        <v>288</v>
      </c>
      <c r="C45" s="268">
        <v>0</v>
      </c>
      <c r="D45" s="268">
        <v>0</v>
      </c>
      <c r="E45" s="268">
        <v>0</v>
      </c>
      <c r="F45" s="273">
        <v>0</v>
      </c>
      <c r="G45" s="269">
        <v>0</v>
      </c>
      <c r="H45" s="273">
        <v>8.8</v>
      </c>
      <c r="I45" s="269">
        <f t="shared" si="6"/>
        <v>-1</v>
      </c>
      <c r="J45" s="273">
        <v>0</v>
      </c>
      <c r="K45" s="278"/>
    </row>
    <row r="46" ht="22" customHeight="1" spans="1:11">
      <c r="A46" s="270">
        <v>20110</v>
      </c>
      <c r="B46" s="271" t="s">
        <v>314</v>
      </c>
      <c r="C46" s="268">
        <v>0</v>
      </c>
      <c r="D46" s="268">
        <v>0</v>
      </c>
      <c r="E46" s="268">
        <v>0</v>
      </c>
      <c r="F46" s="273">
        <v>0</v>
      </c>
      <c r="G46" s="269">
        <v>0</v>
      </c>
      <c r="H46" s="273">
        <v>1565.588447</v>
      </c>
      <c r="I46" s="269">
        <f t="shared" si="6"/>
        <v>-1</v>
      </c>
      <c r="J46" s="273">
        <v>0</v>
      </c>
      <c r="K46" s="278"/>
    </row>
    <row r="47" ht="22" customHeight="1" spans="1:11">
      <c r="A47" s="270">
        <v>2011001</v>
      </c>
      <c r="B47" s="271" t="s">
        <v>288</v>
      </c>
      <c r="C47" s="268">
        <v>0</v>
      </c>
      <c r="D47" s="268">
        <v>0</v>
      </c>
      <c r="E47" s="268">
        <v>0</v>
      </c>
      <c r="F47" s="273">
        <v>0</v>
      </c>
      <c r="G47" s="269">
        <v>0</v>
      </c>
      <c r="H47" s="273">
        <v>1537.148447</v>
      </c>
      <c r="I47" s="269">
        <f t="shared" si="6"/>
        <v>-1</v>
      </c>
      <c r="J47" s="273">
        <v>0</v>
      </c>
      <c r="K47" s="278"/>
    </row>
    <row r="48" ht="22" customHeight="1" spans="1:11">
      <c r="A48" s="270">
        <v>2011099</v>
      </c>
      <c r="B48" s="271" t="s">
        <v>315</v>
      </c>
      <c r="C48" s="268">
        <v>0</v>
      </c>
      <c r="D48" s="268">
        <v>0</v>
      </c>
      <c r="E48" s="268">
        <v>0</v>
      </c>
      <c r="F48" s="273">
        <v>0</v>
      </c>
      <c r="G48" s="269">
        <v>0</v>
      </c>
      <c r="H48" s="273">
        <v>28.44</v>
      </c>
      <c r="I48" s="269">
        <f t="shared" si="6"/>
        <v>-1</v>
      </c>
      <c r="J48" s="273">
        <v>0</v>
      </c>
      <c r="K48" s="278"/>
    </row>
    <row r="49" ht="22" customHeight="1" spans="1:11">
      <c r="A49" s="270">
        <v>20111</v>
      </c>
      <c r="B49" s="271" t="s">
        <v>316</v>
      </c>
      <c r="C49" s="268">
        <v>1168.061021</v>
      </c>
      <c r="D49" s="268">
        <v>1509.348071</v>
      </c>
      <c r="E49" s="268">
        <v>0</v>
      </c>
      <c r="F49" s="273">
        <v>1468.744713</v>
      </c>
      <c r="G49" s="269">
        <f t="shared" ref="G49:G54" si="7">F49/D49</f>
        <v>0.973098744563871</v>
      </c>
      <c r="H49" s="273">
        <v>1469.516425</v>
      </c>
      <c r="I49" s="269">
        <f t="shared" si="6"/>
        <v>-0.000525146903342696</v>
      </c>
      <c r="J49" s="273">
        <v>0</v>
      </c>
      <c r="K49" s="278"/>
    </row>
    <row r="50" ht="22" customHeight="1" spans="1:11">
      <c r="A50" s="270">
        <v>2011101</v>
      </c>
      <c r="B50" s="271" t="s">
        <v>288</v>
      </c>
      <c r="C50" s="268">
        <v>1008.061021</v>
      </c>
      <c r="D50" s="268">
        <v>1085.118071</v>
      </c>
      <c r="E50" s="268">
        <v>0</v>
      </c>
      <c r="F50" s="273">
        <v>1107.893038</v>
      </c>
      <c r="G50" s="269">
        <f t="shared" si="7"/>
        <v>1.02098846900505</v>
      </c>
      <c r="H50" s="273">
        <v>1192.658858</v>
      </c>
      <c r="I50" s="269">
        <f t="shared" si="6"/>
        <v>-0.0710729807030872</v>
      </c>
      <c r="J50" s="273">
        <v>0</v>
      </c>
      <c r="K50" s="278"/>
    </row>
    <row r="51" ht="22" customHeight="1" spans="1:11">
      <c r="A51" s="270">
        <v>2011102</v>
      </c>
      <c r="B51" s="271" t="s">
        <v>294</v>
      </c>
      <c r="C51" s="268">
        <v>160</v>
      </c>
      <c r="D51" s="268">
        <v>424.23</v>
      </c>
      <c r="E51" s="268">
        <v>0</v>
      </c>
      <c r="F51" s="273">
        <v>360.851675</v>
      </c>
      <c r="G51" s="269">
        <f t="shared" si="7"/>
        <v>0.850603858755864</v>
      </c>
      <c r="H51" s="273">
        <v>276.857567</v>
      </c>
      <c r="I51" s="269">
        <f t="shared" si="6"/>
        <v>0.303383826240155</v>
      </c>
      <c r="J51" s="273">
        <v>0</v>
      </c>
      <c r="K51" s="278"/>
    </row>
    <row r="52" ht="22" customHeight="1" spans="1:11">
      <c r="A52" s="270">
        <v>20113</v>
      </c>
      <c r="B52" s="271" t="s">
        <v>317</v>
      </c>
      <c r="C52" s="268">
        <v>659.491232</v>
      </c>
      <c r="D52" s="268">
        <v>742.648392</v>
      </c>
      <c r="E52" s="268">
        <v>2.9286</v>
      </c>
      <c r="F52" s="273">
        <v>577.319024</v>
      </c>
      <c r="G52" s="269">
        <f t="shared" si="7"/>
        <v>0.777378676395222</v>
      </c>
      <c r="H52" s="273">
        <v>851.829427</v>
      </c>
      <c r="I52" s="269">
        <f t="shared" si="6"/>
        <v>-0.32225982608605</v>
      </c>
      <c r="J52" s="273">
        <v>1.5</v>
      </c>
      <c r="K52" s="278"/>
    </row>
    <row r="53" ht="22" customHeight="1" spans="1:11">
      <c r="A53" s="270">
        <v>2011301</v>
      </c>
      <c r="B53" s="271" t="s">
        <v>288</v>
      </c>
      <c r="C53" s="268">
        <v>464.231982</v>
      </c>
      <c r="D53" s="268">
        <v>545.488542</v>
      </c>
      <c r="E53" s="268">
        <v>0</v>
      </c>
      <c r="F53" s="273">
        <v>512.24775</v>
      </c>
      <c r="G53" s="269">
        <f t="shared" si="7"/>
        <v>0.939062346061157</v>
      </c>
      <c r="H53" s="273">
        <v>674.123612</v>
      </c>
      <c r="I53" s="269">
        <f t="shared" si="6"/>
        <v>-0.240127862484663</v>
      </c>
      <c r="J53" s="273">
        <v>0</v>
      </c>
      <c r="K53" s="278"/>
    </row>
    <row r="54" ht="22" customHeight="1" spans="1:11">
      <c r="A54" s="270">
        <v>2011302</v>
      </c>
      <c r="B54" s="271" t="s">
        <v>294</v>
      </c>
      <c r="C54" s="268">
        <v>7</v>
      </c>
      <c r="D54" s="268">
        <v>5.4006</v>
      </c>
      <c r="E54" s="268">
        <v>0</v>
      </c>
      <c r="F54" s="273">
        <v>6.991999</v>
      </c>
      <c r="G54" s="269">
        <f t="shared" si="7"/>
        <v>1.29467077732104</v>
      </c>
      <c r="H54" s="273">
        <v>9.996901</v>
      </c>
      <c r="I54" s="269">
        <f t="shared" si="6"/>
        <v>-0.300583350780407</v>
      </c>
      <c r="J54" s="273">
        <v>0</v>
      </c>
      <c r="K54" s="278"/>
    </row>
    <row r="55" ht="22" customHeight="1" spans="1:11">
      <c r="A55" s="270">
        <v>2011307</v>
      </c>
      <c r="B55" s="271" t="s">
        <v>318</v>
      </c>
      <c r="C55" s="268">
        <v>0</v>
      </c>
      <c r="D55" s="268">
        <v>0</v>
      </c>
      <c r="E55" s="268">
        <v>1.4286</v>
      </c>
      <c r="F55" s="273">
        <v>0</v>
      </c>
      <c r="G55" s="269">
        <v>0</v>
      </c>
      <c r="H55" s="273">
        <v>0</v>
      </c>
      <c r="I55" s="269"/>
      <c r="J55" s="273"/>
      <c r="K55" s="278"/>
    </row>
    <row r="56" ht="22" customHeight="1" spans="1:11">
      <c r="A56" s="270">
        <v>2011308</v>
      </c>
      <c r="B56" s="271" t="s">
        <v>319</v>
      </c>
      <c r="C56" s="268">
        <v>100</v>
      </c>
      <c r="D56" s="268">
        <v>100</v>
      </c>
      <c r="E56" s="268">
        <v>0</v>
      </c>
      <c r="F56" s="273">
        <v>19.899375</v>
      </c>
      <c r="G56" s="269">
        <f t="shared" ref="G56:G69" si="8">F56/D56</f>
        <v>0.19899375</v>
      </c>
      <c r="H56" s="273">
        <v>21.199842</v>
      </c>
      <c r="I56" s="269">
        <f t="shared" ref="I56:I86" si="9">(F56-H56)/H56</f>
        <v>-0.0613432401996204</v>
      </c>
      <c r="J56" s="273">
        <v>0</v>
      </c>
      <c r="K56" s="278"/>
    </row>
    <row r="57" ht="22" customHeight="1" spans="1:11">
      <c r="A57" s="270">
        <v>2011350</v>
      </c>
      <c r="B57" s="271" t="s">
        <v>291</v>
      </c>
      <c r="C57" s="268">
        <v>5</v>
      </c>
      <c r="D57" s="268">
        <v>5</v>
      </c>
      <c r="E57" s="268">
        <v>0</v>
      </c>
      <c r="F57" s="273">
        <v>5</v>
      </c>
      <c r="G57" s="269">
        <f t="shared" si="8"/>
        <v>1</v>
      </c>
      <c r="H57" s="273">
        <v>19.2</v>
      </c>
      <c r="I57" s="269">
        <f t="shared" si="9"/>
        <v>-0.739583333333333</v>
      </c>
      <c r="J57" s="273">
        <v>0</v>
      </c>
      <c r="K57" s="278"/>
    </row>
    <row r="58" ht="22" customHeight="1" spans="1:11">
      <c r="A58" s="270">
        <v>2011399</v>
      </c>
      <c r="B58" s="271" t="s">
        <v>320</v>
      </c>
      <c r="C58" s="268">
        <v>83.25925</v>
      </c>
      <c r="D58" s="268">
        <v>86.75925</v>
      </c>
      <c r="E58" s="268">
        <v>1.5</v>
      </c>
      <c r="F58" s="273">
        <v>33.1799</v>
      </c>
      <c r="G58" s="269">
        <f t="shared" si="8"/>
        <v>0.382436454902503</v>
      </c>
      <c r="H58" s="273">
        <v>127.309072</v>
      </c>
      <c r="I58" s="269">
        <f t="shared" si="9"/>
        <v>-0.739375211218255</v>
      </c>
      <c r="J58" s="273">
        <v>1.5</v>
      </c>
      <c r="K58" s="278"/>
    </row>
    <row r="59" ht="22" customHeight="1" spans="1:11">
      <c r="A59" s="270">
        <v>20123</v>
      </c>
      <c r="B59" s="271" t="s">
        <v>321</v>
      </c>
      <c r="C59" s="268">
        <v>164.757448</v>
      </c>
      <c r="D59" s="268">
        <v>178.434981</v>
      </c>
      <c r="E59" s="268">
        <v>0</v>
      </c>
      <c r="F59" s="273">
        <v>165.762333</v>
      </c>
      <c r="G59" s="269">
        <f t="shared" si="8"/>
        <v>0.928978903525649</v>
      </c>
      <c r="H59" s="273">
        <v>186.129807</v>
      </c>
      <c r="I59" s="269">
        <f t="shared" si="9"/>
        <v>-0.109426181267141</v>
      </c>
      <c r="J59" s="273">
        <v>0</v>
      </c>
      <c r="K59" s="278"/>
    </row>
    <row r="60" ht="22" customHeight="1" spans="1:11">
      <c r="A60" s="270">
        <v>2012301</v>
      </c>
      <c r="B60" s="271" t="s">
        <v>288</v>
      </c>
      <c r="C60" s="268">
        <v>139.757448</v>
      </c>
      <c r="D60" s="268">
        <v>153.434981</v>
      </c>
      <c r="E60" s="268">
        <v>0</v>
      </c>
      <c r="F60" s="273">
        <v>147.151709</v>
      </c>
      <c r="G60" s="269">
        <f t="shared" si="8"/>
        <v>0.959049286159849</v>
      </c>
      <c r="H60" s="273">
        <v>166.129807</v>
      </c>
      <c r="I60" s="269">
        <f t="shared" si="9"/>
        <v>-0.114236562015629</v>
      </c>
      <c r="J60" s="273">
        <v>0</v>
      </c>
      <c r="K60" s="278"/>
    </row>
    <row r="61" ht="33" customHeight="1" spans="1:11">
      <c r="A61" s="270">
        <v>2012304</v>
      </c>
      <c r="B61" s="271" t="s">
        <v>322</v>
      </c>
      <c r="C61" s="268">
        <v>25</v>
      </c>
      <c r="D61" s="268">
        <v>25</v>
      </c>
      <c r="E61" s="268">
        <v>0</v>
      </c>
      <c r="F61" s="273">
        <v>18.610624</v>
      </c>
      <c r="G61" s="269">
        <f t="shared" si="8"/>
        <v>0.74442496</v>
      </c>
      <c r="H61" s="273">
        <v>20</v>
      </c>
      <c r="I61" s="269">
        <f t="shared" si="9"/>
        <v>-0.0694687999999999</v>
      </c>
      <c r="J61" s="273">
        <v>0</v>
      </c>
      <c r="K61" s="278"/>
    </row>
    <row r="62" ht="22" customHeight="1" spans="1:11">
      <c r="A62" s="270">
        <v>20126</v>
      </c>
      <c r="B62" s="271" t="s">
        <v>323</v>
      </c>
      <c r="C62" s="268">
        <v>193.916472</v>
      </c>
      <c r="D62" s="268">
        <v>189.802772</v>
      </c>
      <c r="E62" s="268">
        <v>0</v>
      </c>
      <c r="F62" s="273">
        <v>188.411824</v>
      </c>
      <c r="G62" s="269">
        <f t="shared" si="8"/>
        <v>0.992671613879275</v>
      </c>
      <c r="H62" s="273">
        <v>261.010256</v>
      </c>
      <c r="I62" s="269">
        <f t="shared" si="9"/>
        <v>-0.278143982204286</v>
      </c>
      <c r="J62" s="273">
        <v>0</v>
      </c>
      <c r="K62" s="278"/>
    </row>
    <row r="63" ht="22" customHeight="1" spans="1:11">
      <c r="A63" s="270">
        <v>2012601</v>
      </c>
      <c r="B63" s="271" t="s">
        <v>288</v>
      </c>
      <c r="C63" s="268">
        <v>191.916472</v>
      </c>
      <c r="D63" s="268">
        <v>180.302772</v>
      </c>
      <c r="E63" s="268">
        <v>0</v>
      </c>
      <c r="F63" s="273">
        <v>178.911824</v>
      </c>
      <c r="G63" s="269">
        <f t="shared" si="8"/>
        <v>0.992285487435545</v>
      </c>
      <c r="H63" s="273">
        <v>250.023695</v>
      </c>
      <c r="I63" s="269">
        <f t="shared" si="9"/>
        <v>-0.284420526622487</v>
      </c>
      <c r="J63" s="273">
        <v>0</v>
      </c>
      <c r="K63" s="278"/>
    </row>
    <row r="64" ht="22" customHeight="1" spans="1:11">
      <c r="A64" s="270">
        <v>2012604</v>
      </c>
      <c r="B64" s="271" t="s">
        <v>324</v>
      </c>
      <c r="C64" s="268">
        <v>2</v>
      </c>
      <c r="D64" s="268">
        <v>9.5</v>
      </c>
      <c r="E64" s="268">
        <v>0</v>
      </c>
      <c r="F64" s="273">
        <v>9.5</v>
      </c>
      <c r="G64" s="269">
        <f t="shared" si="8"/>
        <v>1</v>
      </c>
      <c r="H64" s="273">
        <v>10.986561</v>
      </c>
      <c r="I64" s="269">
        <f t="shared" si="9"/>
        <v>-0.135307217608859</v>
      </c>
      <c r="J64" s="273">
        <v>0</v>
      </c>
      <c r="K64" s="278"/>
    </row>
    <row r="65" ht="22" customHeight="1" spans="1:11">
      <c r="A65" s="270">
        <v>20128</v>
      </c>
      <c r="B65" s="271" t="s">
        <v>325</v>
      </c>
      <c r="C65" s="268">
        <v>5</v>
      </c>
      <c r="D65" s="268">
        <v>11</v>
      </c>
      <c r="E65" s="268">
        <v>0</v>
      </c>
      <c r="F65" s="273">
        <v>10.91496</v>
      </c>
      <c r="G65" s="269">
        <f t="shared" si="8"/>
        <v>0.992269090909091</v>
      </c>
      <c r="H65" s="273">
        <v>7.97038</v>
      </c>
      <c r="I65" s="269">
        <f t="shared" si="9"/>
        <v>0.369440352906637</v>
      </c>
      <c r="J65" s="273">
        <v>0</v>
      </c>
      <c r="K65" s="278"/>
    </row>
    <row r="66" ht="22" customHeight="1" spans="1:11">
      <c r="A66" s="270">
        <v>2012802</v>
      </c>
      <c r="B66" s="271" t="s">
        <v>294</v>
      </c>
      <c r="C66" s="268">
        <v>5</v>
      </c>
      <c r="D66" s="268">
        <v>11</v>
      </c>
      <c r="E66" s="268">
        <v>0</v>
      </c>
      <c r="F66" s="273">
        <v>10.91496</v>
      </c>
      <c r="G66" s="269">
        <f t="shared" si="8"/>
        <v>0.992269090909091</v>
      </c>
      <c r="H66" s="273">
        <v>7.97038</v>
      </c>
      <c r="I66" s="269">
        <f t="shared" si="9"/>
        <v>0.369440352906637</v>
      </c>
      <c r="J66" s="273">
        <v>0</v>
      </c>
      <c r="K66" s="278"/>
    </row>
    <row r="67" ht="22" customHeight="1" spans="1:11">
      <c r="A67" s="270">
        <v>20129</v>
      </c>
      <c r="B67" s="271" t="s">
        <v>326</v>
      </c>
      <c r="C67" s="268">
        <v>378.249668</v>
      </c>
      <c r="D67" s="268">
        <v>311.981768</v>
      </c>
      <c r="E67" s="268">
        <v>264.16</v>
      </c>
      <c r="F67" s="273">
        <v>311.365398</v>
      </c>
      <c r="G67" s="269">
        <f t="shared" si="8"/>
        <v>0.998024339678721</v>
      </c>
      <c r="H67" s="273">
        <v>643.825833</v>
      </c>
      <c r="I67" s="269">
        <f t="shared" si="9"/>
        <v>-0.516382564910222</v>
      </c>
      <c r="J67" s="273">
        <v>83.061799</v>
      </c>
      <c r="K67" s="278"/>
    </row>
    <row r="68" ht="22" customHeight="1" spans="1:11">
      <c r="A68" s="270">
        <v>2012901</v>
      </c>
      <c r="B68" s="271" t="s">
        <v>288</v>
      </c>
      <c r="C68" s="268">
        <v>95.067808</v>
      </c>
      <c r="D68" s="268">
        <v>115.454008</v>
      </c>
      <c r="E68" s="268">
        <v>0</v>
      </c>
      <c r="F68" s="273">
        <v>114.888539</v>
      </c>
      <c r="G68" s="269">
        <f t="shared" si="8"/>
        <v>0.995102214208103</v>
      </c>
      <c r="H68" s="273">
        <v>120.628532</v>
      </c>
      <c r="I68" s="269">
        <f t="shared" si="9"/>
        <v>-0.0475840408967259</v>
      </c>
      <c r="J68" s="273">
        <v>0</v>
      </c>
      <c r="K68" s="278"/>
    </row>
    <row r="69" ht="22" customHeight="1" spans="1:11">
      <c r="A69" s="270">
        <v>2012902</v>
      </c>
      <c r="B69" s="271" t="s">
        <v>294</v>
      </c>
      <c r="C69" s="268">
        <v>283.18186</v>
      </c>
      <c r="D69" s="268">
        <v>196.52776</v>
      </c>
      <c r="E69" s="268">
        <v>2</v>
      </c>
      <c r="F69" s="273">
        <v>196.476859</v>
      </c>
      <c r="G69" s="269">
        <f t="shared" si="8"/>
        <v>0.999740998421801</v>
      </c>
      <c r="H69" s="273">
        <v>100.435301</v>
      </c>
      <c r="I69" s="269">
        <f t="shared" si="9"/>
        <v>0.956253001123579</v>
      </c>
      <c r="J69" s="273">
        <v>2</v>
      </c>
      <c r="K69" s="278"/>
    </row>
    <row r="70" ht="22" customHeight="1" spans="1:11">
      <c r="A70" s="270">
        <v>2012999</v>
      </c>
      <c r="B70" s="271" t="s">
        <v>327</v>
      </c>
      <c r="C70" s="268">
        <v>0</v>
      </c>
      <c r="D70" s="268">
        <v>0</v>
      </c>
      <c r="E70" s="268">
        <v>262.16</v>
      </c>
      <c r="F70" s="273">
        <v>0</v>
      </c>
      <c r="G70" s="269">
        <v>0</v>
      </c>
      <c r="H70" s="273">
        <v>422.762</v>
      </c>
      <c r="I70" s="269">
        <f t="shared" si="9"/>
        <v>-1</v>
      </c>
      <c r="J70" s="273">
        <v>81.061799</v>
      </c>
      <c r="K70" s="278"/>
    </row>
    <row r="71" ht="22" customHeight="1" spans="1:11">
      <c r="A71" s="270">
        <v>20131</v>
      </c>
      <c r="B71" s="271" t="s">
        <v>328</v>
      </c>
      <c r="C71" s="268">
        <v>922.208012</v>
      </c>
      <c r="D71" s="268">
        <v>1215.414462</v>
      </c>
      <c r="E71" s="268">
        <v>0</v>
      </c>
      <c r="F71" s="273">
        <v>1277.731719</v>
      </c>
      <c r="G71" s="269">
        <f t="shared" ref="G71:G86" si="10">F71/D71</f>
        <v>1.05127243335369</v>
      </c>
      <c r="H71" s="273">
        <v>1253.285628</v>
      </c>
      <c r="I71" s="269">
        <f t="shared" si="9"/>
        <v>0.0195056022775999</v>
      </c>
      <c r="J71" s="273">
        <v>0</v>
      </c>
      <c r="K71" s="278"/>
    </row>
    <row r="72" ht="22" customHeight="1" spans="1:11">
      <c r="A72" s="270">
        <v>2013101</v>
      </c>
      <c r="B72" s="271" t="s">
        <v>288</v>
      </c>
      <c r="C72" s="268">
        <v>612.868012</v>
      </c>
      <c r="D72" s="268">
        <v>667.220462</v>
      </c>
      <c r="E72" s="268">
        <v>0</v>
      </c>
      <c r="F72" s="273">
        <v>729.234345</v>
      </c>
      <c r="G72" s="269">
        <f t="shared" si="10"/>
        <v>1.09294361688806</v>
      </c>
      <c r="H72" s="273">
        <v>1063.06451</v>
      </c>
      <c r="I72" s="269">
        <f t="shared" si="9"/>
        <v>-0.314026253213928</v>
      </c>
      <c r="J72" s="273">
        <v>0</v>
      </c>
      <c r="K72" s="278"/>
    </row>
    <row r="73" ht="22" customHeight="1" spans="1:11">
      <c r="A73" s="270">
        <v>2013102</v>
      </c>
      <c r="B73" s="271" t="s">
        <v>294</v>
      </c>
      <c r="C73" s="268">
        <v>309.34</v>
      </c>
      <c r="D73" s="268">
        <v>548.194</v>
      </c>
      <c r="E73" s="268">
        <v>0</v>
      </c>
      <c r="F73" s="273">
        <v>548.497374</v>
      </c>
      <c r="G73" s="269">
        <f t="shared" si="10"/>
        <v>1.00055340627588</v>
      </c>
      <c r="H73" s="273">
        <v>190.221118</v>
      </c>
      <c r="I73" s="269">
        <f t="shared" si="9"/>
        <v>1.88347255955041</v>
      </c>
      <c r="J73" s="273">
        <v>0</v>
      </c>
      <c r="K73" s="278"/>
    </row>
    <row r="74" ht="22" customHeight="1" spans="1:11">
      <c r="A74" s="270">
        <v>20132</v>
      </c>
      <c r="B74" s="271" t="s">
        <v>329</v>
      </c>
      <c r="C74" s="268">
        <v>2207.359204</v>
      </c>
      <c r="D74" s="268">
        <v>2236.296152</v>
      </c>
      <c r="E74" s="268">
        <v>0</v>
      </c>
      <c r="F74" s="273">
        <v>2158.220464</v>
      </c>
      <c r="G74" s="269">
        <f t="shared" si="10"/>
        <v>0.965087053461066</v>
      </c>
      <c r="H74" s="273">
        <v>1194.073996</v>
      </c>
      <c r="I74" s="269">
        <f t="shared" si="9"/>
        <v>0.807442814456869</v>
      </c>
      <c r="J74" s="273">
        <v>0</v>
      </c>
      <c r="K74" s="278"/>
    </row>
    <row r="75" ht="22" customHeight="1" spans="1:11">
      <c r="A75" s="270">
        <v>2013201</v>
      </c>
      <c r="B75" s="271" t="s">
        <v>288</v>
      </c>
      <c r="C75" s="268">
        <v>1878.889204</v>
      </c>
      <c r="D75" s="268">
        <v>1874.451152</v>
      </c>
      <c r="E75" s="268">
        <v>0</v>
      </c>
      <c r="F75" s="273">
        <v>1857.039837</v>
      </c>
      <c r="G75" s="269">
        <f t="shared" si="10"/>
        <v>0.99071124633927</v>
      </c>
      <c r="H75" s="273">
        <v>1051.941327</v>
      </c>
      <c r="I75" s="269">
        <f t="shared" si="9"/>
        <v>0.765345451628977</v>
      </c>
      <c r="J75" s="273">
        <v>0</v>
      </c>
      <c r="K75" s="278"/>
    </row>
    <row r="76" ht="22" customHeight="1" spans="1:11">
      <c r="A76" s="270">
        <v>2013202</v>
      </c>
      <c r="B76" s="271" t="s">
        <v>294</v>
      </c>
      <c r="C76" s="268">
        <v>328.47</v>
      </c>
      <c r="D76" s="268">
        <v>361.845</v>
      </c>
      <c r="E76" s="268">
        <v>0</v>
      </c>
      <c r="F76" s="273">
        <v>301.180627</v>
      </c>
      <c r="G76" s="269">
        <f t="shared" si="10"/>
        <v>0.832347074023408</v>
      </c>
      <c r="H76" s="273">
        <v>142.132669</v>
      </c>
      <c r="I76" s="269">
        <f t="shared" si="9"/>
        <v>1.11901056329281</v>
      </c>
      <c r="J76" s="273">
        <v>0</v>
      </c>
      <c r="K76" s="278"/>
    </row>
    <row r="77" ht="22" customHeight="1" spans="1:11">
      <c r="A77" s="270">
        <v>20133</v>
      </c>
      <c r="B77" s="271" t="s">
        <v>330</v>
      </c>
      <c r="C77" s="268">
        <v>1037.22578</v>
      </c>
      <c r="D77" s="268">
        <v>1168.910025</v>
      </c>
      <c r="E77" s="268">
        <v>0</v>
      </c>
      <c r="F77" s="273">
        <v>1156.411476</v>
      </c>
      <c r="G77" s="269">
        <f t="shared" si="10"/>
        <v>0.989307518343852</v>
      </c>
      <c r="H77" s="273">
        <v>1595.260691</v>
      </c>
      <c r="I77" s="269">
        <f t="shared" si="9"/>
        <v>-0.275095611316608</v>
      </c>
      <c r="J77" s="273">
        <v>0</v>
      </c>
      <c r="K77" s="278"/>
    </row>
    <row r="78" ht="22" customHeight="1" spans="1:11">
      <c r="A78" s="270">
        <v>2013301</v>
      </c>
      <c r="B78" s="271" t="s">
        <v>288</v>
      </c>
      <c r="C78" s="268">
        <v>772.22578</v>
      </c>
      <c r="D78" s="268">
        <v>816.222025</v>
      </c>
      <c r="E78" s="268">
        <v>0</v>
      </c>
      <c r="F78" s="273">
        <v>820.07492</v>
      </c>
      <c r="G78" s="269">
        <f t="shared" si="10"/>
        <v>1.00472040067774</v>
      </c>
      <c r="H78" s="273">
        <v>985.485098</v>
      </c>
      <c r="I78" s="269">
        <f t="shared" si="9"/>
        <v>-0.167846452813638</v>
      </c>
      <c r="J78" s="273">
        <v>0</v>
      </c>
      <c r="K78" s="278"/>
    </row>
    <row r="79" ht="22" customHeight="1" spans="1:11">
      <c r="A79" s="270">
        <v>2013302</v>
      </c>
      <c r="B79" s="271" t="s">
        <v>294</v>
      </c>
      <c r="C79" s="268">
        <v>265</v>
      </c>
      <c r="D79" s="268">
        <v>352.688</v>
      </c>
      <c r="E79" s="268">
        <v>0</v>
      </c>
      <c r="F79" s="273">
        <v>336.336556</v>
      </c>
      <c r="G79" s="269">
        <f t="shared" si="10"/>
        <v>0.95363765140861</v>
      </c>
      <c r="H79" s="273">
        <v>609.775593</v>
      </c>
      <c r="I79" s="269">
        <f t="shared" si="9"/>
        <v>-0.44842568338087</v>
      </c>
      <c r="J79" s="273">
        <v>0</v>
      </c>
      <c r="K79" s="278"/>
    </row>
    <row r="80" ht="22" customHeight="1" spans="1:11">
      <c r="A80" s="270">
        <v>20134</v>
      </c>
      <c r="B80" s="271" t="s">
        <v>331</v>
      </c>
      <c r="C80" s="268">
        <v>717.706648</v>
      </c>
      <c r="D80" s="268">
        <v>731.557888</v>
      </c>
      <c r="E80" s="268">
        <v>12</v>
      </c>
      <c r="F80" s="273">
        <v>718.877815</v>
      </c>
      <c r="G80" s="269">
        <f t="shared" si="10"/>
        <v>0.98266702716491</v>
      </c>
      <c r="H80" s="273">
        <v>819.292447</v>
      </c>
      <c r="I80" s="269">
        <f t="shared" si="9"/>
        <v>-0.122562623844133</v>
      </c>
      <c r="J80" s="273">
        <v>10</v>
      </c>
      <c r="K80" s="278"/>
    </row>
    <row r="81" ht="22" customHeight="1" spans="1:11">
      <c r="A81" s="270">
        <v>2013401</v>
      </c>
      <c r="B81" s="271" t="s">
        <v>288</v>
      </c>
      <c r="C81" s="268">
        <v>691.206648</v>
      </c>
      <c r="D81" s="268">
        <v>705.057888</v>
      </c>
      <c r="E81" s="268">
        <v>0</v>
      </c>
      <c r="F81" s="273">
        <v>693.94973</v>
      </c>
      <c r="G81" s="269">
        <f t="shared" si="10"/>
        <v>0.984245041167457</v>
      </c>
      <c r="H81" s="273">
        <v>787.964331</v>
      </c>
      <c r="I81" s="269">
        <f t="shared" si="9"/>
        <v>-0.119313270031762</v>
      </c>
      <c r="J81" s="273">
        <v>0</v>
      </c>
      <c r="K81" s="278"/>
    </row>
    <row r="82" ht="22" customHeight="1" spans="1:11">
      <c r="A82" s="270">
        <v>2013402</v>
      </c>
      <c r="B82" s="283" t="s">
        <v>294</v>
      </c>
      <c r="C82" s="268">
        <v>13</v>
      </c>
      <c r="D82" s="268">
        <v>13</v>
      </c>
      <c r="E82" s="268">
        <v>0</v>
      </c>
      <c r="F82" s="273">
        <v>12.926185</v>
      </c>
      <c r="G82" s="269">
        <f t="shared" si="10"/>
        <v>0.994321923076923</v>
      </c>
      <c r="H82" s="273">
        <v>18.928342</v>
      </c>
      <c r="I82" s="269">
        <f t="shared" si="9"/>
        <v>-0.317098930270808</v>
      </c>
      <c r="J82" s="273">
        <v>0</v>
      </c>
      <c r="K82" s="278"/>
    </row>
    <row r="83" ht="22" customHeight="1" spans="1:11">
      <c r="A83" s="270">
        <v>2013404</v>
      </c>
      <c r="B83" s="283" t="s">
        <v>332</v>
      </c>
      <c r="C83" s="268">
        <v>13.5</v>
      </c>
      <c r="D83" s="268">
        <v>13.5</v>
      </c>
      <c r="E83" s="268">
        <v>12</v>
      </c>
      <c r="F83" s="273">
        <v>12.0019</v>
      </c>
      <c r="G83" s="269">
        <f t="shared" si="10"/>
        <v>0.88902962962963</v>
      </c>
      <c r="H83" s="273">
        <v>12.399774</v>
      </c>
      <c r="I83" s="269">
        <f t="shared" si="9"/>
        <v>-0.0320871977182811</v>
      </c>
      <c r="J83" s="273">
        <v>10</v>
      </c>
      <c r="K83" s="278"/>
    </row>
    <row r="84" ht="22" customHeight="1" spans="1:11">
      <c r="A84" s="270">
        <v>20138</v>
      </c>
      <c r="B84" s="271" t="s">
        <v>100</v>
      </c>
      <c r="C84" s="272">
        <v>1432.965538</v>
      </c>
      <c r="D84" s="272">
        <v>1567.641838</v>
      </c>
      <c r="E84" s="272">
        <v>215</v>
      </c>
      <c r="F84" s="273">
        <v>1462.25622</v>
      </c>
      <c r="G84" s="269">
        <f t="shared" si="10"/>
        <v>0.932774428797811</v>
      </c>
      <c r="H84" s="273">
        <v>1801.679068</v>
      </c>
      <c r="I84" s="269">
        <f t="shared" si="9"/>
        <v>-0.188392513421819</v>
      </c>
      <c r="J84" s="273">
        <v>165</v>
      </c>
      <c r="K84" s="278"/>
    </row>
    <row r="85" ht="22" customHeight="1" spans="1:11">
      <c r="A85" s="270">
        <v>2013801</v>
      </c>
      <c r="B85" s="271" t="s">
        <v>288</v>
      </c>
      <c r="C85" s="268">
        <v>1255.385538</v>
      </c>
      <c r="D85" s="268">
        <v>1342.087938</v>
      </c>
      <c r="E85" s="268">
        <v>0</v>
      </c>
      <c r="F85" s="273">
        <v>1341.055008</v>
      </c>
      <c r="G85" s="269">
        <f t="shared" si="10"/>
        <v>0.999230355947063</v>
      </c>
      <c r="H85" s="273">
        <v>1640.779388</v>
      </c>
      <c r="I85" s="269">
        <f t="shared" si="9"/>
        <v>-0.182671955896121</v>
      </c>
      <c r="J85" s="273">
        <v>0</v>
      </c>
      <c r="K85" s="278"/>
    </row>
    <row r="86" ht="22" customHeight="1" spans="1:11">
      <c r="A86" s="270">
        <v>2013802</v>
      </c>
      <c r="B86" s="271" t="s">
        <v>294</v>
      </c>
      <c r="C86" s="268">
        <v>147.96</v>
      </c>
      <c r="D86" s="268">
        <v>147.6939</v>
      </c>
      <c r="E86" s="268">
        <v>0</v>
      </c>
      <c r="F86" s="273">
        <v>55.341212</v>
      </c>
      <c r="G86" s="269">
        <f t="shared" si="10"/>
        <v>0.374702083159833</v>
      </c>
      <c r="H86" s="273">
        <v>83.62467</v>
      </c>
      <c r="I86" s="269">
        <f t="shared" si="9"/>
        <v>-0.338219068607386</v>
      </c>
      <c r="J86" s="273">
        <v>0</v>
      </c>
      <c r="K86" s="278"/>
    </row>
    <row r="87" ht="22" customHeight="1" spans="1:11">
      <c r="A87" s="270">
        <v>2013815</v>
      </c>
      <c r="B87" s="271" t="s">
        <v>333</v>
      </c>
      <c r="C87" s="268">
        <v>0</v>
      </c>
      <c r="D87" s="268">
        <v>0</v>
      </c>
      <c r="E87" s="268">
        <v>140</v>
      </c>
      <c r="F87" s="273">
        <v>0</v>
      </c>
      <c r="G87" s="269">
        <v>0</v>
      </c>
      <c r="H87" s="273">
        <v>0</v>
      </c>
      <c r="I87" s="269">
        <v>0</v>
      </c>
      <c r="J87" s="273">
        <v>140</v>
      </c>
      <c r="K87" s="278"/>
    </row>
    <row r="88" ht="22" customHeight="1" spans="1:11">
      <c r="A88" s="274">
        <v>2013816</v>
      </c>
      <c r="B88" s="271" t="s">
        <v>334</v>
      </c>
      <c r="C88" s="268">
        <v>29.62</v>
      </c>
      <c r="D88" s="268">
        <v>77.86</v>
      </c>
      <c r="E88" s="268">
        <v>25</v>
      </c>
      <c r="F88" s="273">
        <v>65.86</v>
      </c>
      <c r="G88" s="269">
        <f>F88/D88</f>
        <v>0.845877215515027</v>
      </c>
      <c r="H88" s="273">
        <v>54.73646</v>
      </c>
      <c r="I88" s="269">
        <f t="shared" ref="I88:I101" si="11">(F88-H88)/H88</f>
        <v>0.203219937862259</v>
      </c>
      <c r="J88" s="273">
        <v>25</v>
      </c>
      <c r="K88" s="278"/>
    </row>
    <row r="89" ht="22" customHeight="1" spans="1:11">
      <c r="A89" s="270">
        <v>2013899</v>
      </c>
      <c r="B89" s="271" t="s">
        <v>335</v>
      </c>
      <c r="C89" s="268">
        <v>0</v>
      </c>
      <c r="D89" s="268">
        <v>0</v>
      </c>
      <c r="E89" s="268">
        <v>50</v>
      </c>
      <c r="F89" s="273">
        <v>0</v>
      </c>
      <c r="G89" s="269">
        <v>0</v>
      </c>
      <c r="H89" s="273">
        <v>22.53855</v>
      </c>
      <c r="I89" s="269">
        <f t="shared" si="11"/>
        <v>-1</v>
      </c>
      <c r="J89" s="273">
        <v>0</v>
      </c>
      <c r="K89" s="278"/>
    </row>
    <row r="90" ht="27" customHeight="1" spans="1:11">
      <c r="A90" s="270">
        <v>20199</v>
      </c>
      <c r="B90" s="271" t="s">
        <v>336</v>
      </c>
      <c r="C90" s="268">
        <v>5955.425408</v>
      </c>
      <c r="D90" s="268">
        <v>1676.254729</v>
      </c>
      <c r="E90" s="268">
        <v>232.38</v>
      </c>
      <c r="F90" s="273">
        <v>428.996784</v>
      </c>
      <c r="G90" s="269">
        <f>F90/D90</f>
        <v>0.255925771052664</v>
      </c>
      <c r="H90" s="273">
        <v>1645.867424</v>
      </c>
      <c r="I90" s="269">
        <f t="shared" si="11"/>
        <v>-0.739349125121271</v>
      </c>
      <c r="J90" s="273">
        <v>0</v>
      </c>
      <c r="K90" s="278"/>
    </row>
    <row r="91" ht="51" customHeight="1" spans="1:11">
      <c r="A91" s="270">
        <v>2019999</v>
      </c>
      <c r="B91" s="283" t="s">
        <v>337</v>
      </c>
      <c r="C91" s="268">
        <v>5955.425408</v>
      </c>
      <c r="D91" s="268">
        <v>1676.254729</v>
      </c>
      <c r="E91" s="268">
        <v>232.38</v>
      </c>
      <c r="F91" s="273">
        <v>428.996784</v>
      </c>
      <c r="G91" s="269">
        <f>F91/D91</f>
        <v>0.255925771052664</v>
      </c>
      <c r="H91" s="273">
        <v>1645.867424</v>
      </c>
      <c r="I91" s="269">
        <f t="shared" si="11"/>
        <v>-0.739349125121271</v>
      </c>
      <c r="J91" s="273">
        <v>0</v>
      </c>
      <c r="K91" s="278"/>
    </row>
    <row r="92" ht="22" customHeight="1" spans="1:11">
      <c r="A92" s="270">
        <v>204</v>
      </c>
      <c r="B92" s="271" t="s">
        <v>338</v>
      </c>
      <c r="C92" s="268">
        <v>14070.486172</v>
      </c>
      <c r="D92" s="268">
        <v>14028.005601</v>
      </c>
      <c r="E92" s="268">
        <v>26.16</v>
      </c>
      <c r="F92" s="273">
        <v>12805.731964</v>
      </c>
      <c r="G92" s="269">
        <f>F92/D92</f>
        <v>0.912869036998897</v>
      </c>
      <c r="H92" s="273">
        <v>16273.997463</v>
      </c>
      <c r="I92" s="269">
        <f t="shared" si="11"/>
        <v>-0.213116998874144</v>
      </c>
      <c r="J92" s="273">
        <v>0</v>
      </c>
      <c r="K92" s="278"/>
    </row>
    <row r="93" ht="22" customHeight="1" spans="1:11">
      <c r="A93" s="270">
        <v>20401</v>
      </c>
      <c r="B93" s="271" t="s">
        <v>339</v>
      </c>
      <c r="C93" s="268">
        <v>0</v>
      </c>
      <c r="D93" s="268">
        <v>0</v>
      </c>
      <c r="E93" s="268">
        <v>0</v>
      </c>
      <c r="F93" s="273">
        <v>0</v>
      </c>
      <c r="G93" s="269">
        <v>0</v>
      </c>
      <c r="H93" s="273">
        <v>156.47</v>
      </c>
      <c r="I93" s="269">
        <f t="shared" si="11"/>
        <v>-1</v>
      </c>
      <c r="J93" s="273">
        <v>0</v>
      </c>
      <c r="K93" s="278"/>
    </row>
    <row r="94" ht="22" customHeight="1" spans="1:11">
      <c r="A94" s="270">
        <v>2040199</v>
      </c>
      <c r="B94" s="271" t="s">
        <v>340</v>
      </c>
      <c r="C94" s="268">
        <v>0</v>
      </c>
      <c r="D94" s="268">
        <v>0</v>
      </c>
      <c r="E94" s="268">
        <v>0</v>
      </c>
      <c r="F94" s="273">
        <v>0</v>
      </c>
      <c r="G94" s="269">
        <v>0</v>
      </c>
      <c r="H94" s="273">
        <v>156.47</v>
      </c>
      <c r="I94" s="269">
        <f t="shared" si="11"/>
        <v>-1</v>
      </c>
      <c r="J94" s="273">
        <v>0</v>
      </c>
      <c r="K94" s="278"/>
    </row>
    <row r="95" ht="22" customHeight="1" spans="1:11">
      <c r="A95" s="270">
        <v>20402</v>
      </c>
      <c r="B95" s="271" t="s">
        <v>341</v>
      </c>
      <c r="C95" s="268">
        <v>12929.278812</v>
      </c>
      <c r="D95" s="268">
        <v>12849.787382</v>
      </c>
      <c r="E95" s="268">
        <v>0.96</v>
      </c>
      <c r="F95" s="273">
        <v>11738.978102</v>
      </c>
      <c r="G95" s="269">
        <f>F95/D95</f>
        <v>0.913554267710606</v>
      </c>
      <c r="H95" s="273">
        <v>14047.862968</v>
      </c>
      <c r="I95" s="269">
        <f t="shared" si="11"/>
        <v>-0.164358441654753</v>
      </c>
      <c r="J95" s="273">
        <v>0</v>
      </c>
      <c r="K95" s="278"/>
    </row>
    <row r="96" ht="22" customHeight="1" spans="1:11">
      <c r="A96" s="270">
        <v>2040201</v>
      </c>
      <c r="B96" s="283" t="s">
        <v>288</v>
      </c>
      <c r="C96" s="268">
        <v>8996.306364</v>
      </c>
      <c r="D96" s="268">
        <v>8915.680434</v>
      </c>
      <c r="E96" s="268">
        <v>0</v>
      </c>
      <c r="F96" s="273">
        <v>8800.41603</v>
      </c>
      <c r="G96" s="269">
        <f>F96/D96</f>
        <v>0.987071721014087</v>
      </c>
      <c r="H96" s="273">
        <v>10142.528513</v>
      </c>
      <c r="I96" s="269">
        <f t="shared" si="11"/>
        <v>-0.132325236382601</v>
      </c>
      <c r="J96" s="273">
        <v>0</v>
      </c>
      <c r="K96" s="278"/>
    </row>
    <row r="97" ht="22" customHeight="1" spans="1:11">
      <c r="A97" s="270">
        <v>2040202</v>
      </c>
      <c r="B97" s="271" t="s">
        <v>294</v>
      </c>
      <c r="C97" s="268">
        <v>1458.5</v>
      </c>
      <c r="D97" s="268">
        <v>1332.375</v>
      </c>
      <c r="E97" s="268">
        <v>0.96</v>
      </c>
      <c r="F97" s="273">
        <v>1124.10242</v>
      </c>
      <c r="G97" s="269">
        <f>F97/D97</f>
        <v>0.843683212308847</v>
      </c>
      <c r="H97" s="273">
        <v>570.74027</v>
      </c>
      <c r="I97" s="269">
        <f t="shared" si="11"/>
        <v>0.969551614081831</v>
      </c>
      <c r="J97" s="273">
        <v>0</v>
      </c>
      <c r="K97" s="278"/>
    </row>
    <row r="98" ht="22" customHeight="1" spans="1:11">
      <c r="A98" s="274">
        <v>2040203</v>
      </c>
      <c r="B98" s="283" t="s">
        <v>298</v>
      </c>
      <c r="C98" s="268">
        <v>206</v>
      </c>
      <c r="D98" s="268">
        <v>203</v>
      </c>
      <c r="E98" s="268">
        <v>0</v>
      </c>
      <c r="F98" s="273">
        <v>185.992933</v>
      </c>
      <c r="G98" s="269">
        <f>F98/D98</f>
        <v>0.916221344827586</v>
      </c>
      <c r="H98" s="273">
        <v>477.658409</v>
      </c>
      <c r="I98" s="269">
        <f t="shared" si="11"/>
        <v>-0.610615181276961</v>
      </c>
      <c r="J98" s="273">
        <v>0</v>
      </c>
      <c r="K98" s="278"/>
    </row>
    <row r="99" ht="22" customHeight="1" spans="1:11">
      <c r="A99" s="274">
        <v>2040219</v>
      </c>
      <c r="B99" s="271" t="s">
        <v>342</v>
      </c>
      <c r="C99" s="268">
        <v>0</v>
      </c>
      <c r="D99" s="268">
        <v>0</v>
      </c>
      <c r="E99" s="268">
        <v>0</v>
      </c>
      <c r="F99" s="273">
        <v>0</v>
      </c>
      <c r="G99" s="269">
        <v>0</v>
      </c>
      <c r="H99" s="273">
        <v>569.929413</v>
      </c>
      <c r="I99" s="269">
        <f t="shared" si="11"/>
        <v>-1</v>
      </c>
      <c r="J99" s="273">
        <v>0</v>
      </c>
      <c r="K99" s="278"/>
    </row>
    <row r="100" ht="22" customHeight="1" spans="1:11">
      <c r="A100" s="270">
        <v>2040220</v>
      </c>
      <c r="B100" s="271" t="s">
        <v>343</v>
      </c>
      <c r="C100" s="268">
        <v>1764.46612</v>
      </c>
      <c r="D100" s="268">
        <v>1920.94162</v>
      </c>
      <c r="E100" s="268">
        <v>0</v>
      </c>
      <c r="F100" s="273">
        <v>1394.367132</v>
      </c>
      <c r="G100" s="269">
        <f t="shared" ref="G100:G113" si="12">F100/D100</f>
        <v>0.725876891563212</v>
      </c>
      <c r="H100" s="273">
        <v>1891.947698</v>
      </c>
      <c r="I100" s="269">
        <f t="shared" si="11"/>
        <v>-0.262999112779914</v>
      </c>
      <c r="J100" s="273">
        <v>0</v>
      </c>
      <c r="K100" s="278"/>
    </row>
    <row r="101" ht="22" customHeight="1" spans="1:11">
      <c r="A101" s="274">
        <v>2040221</v>
      </c>
      <c r="B101" s="271" t="s">
        <v>344</v>
      </c>
      <c r="C101" s="268">
        <v>48</v>
      </c>
      <c r="D101" s="268">
        <v>61</v>
      </c>
      <c r="E101" s="268">
        <v>0</v>
      </c>
      <c r="F101" s="273">
        <v>55.588911</v>
      </c>
      <c r="G101" s="269">
        <f t="shared" si="12"/>
        <v>0.91129362295082</v>
      </c>
      <c r="H101" s="273">
        <v>3.99</v>
      </c>
      <c r="I101" s="269">
        <f t="shared" si="11"/>
        <v>12.9320578947368</v>
      </c>
      <c r="J101" s="273">
        <v>0</v>
      </c>
      <c r="K101" s="278"/>
    </row>
    <row r="102" ht="22" customHeight="1" spans="1:11">
      <c r="A102" s="274">
        <v>2040250</v>
      </c>
      <c r="B102" s="271" t="s">
        <v>345</v>
      </c>
      <c r="C102" s="268">
        <v>15</v>
      </c>
      <c r="D102" s="268">
        <v>15</v>
      </c>
      <c r="E102" s="268"/>
      <c r="F102" s="273">
        <v>15</v>
      </c>
      <c r="G102" s="269">
        <f t="shared" si="12"/>
        <v>1</v>
      </c>
      <c r="H102" s="273">
        <v>0</v>
      </c>
      <c r="I102" s="269"/>
      <c r="J102" s="273"/>
      <c r="K102" s="278"/>
    </row>
    <row r="103" ht="22" customHeight="1" spans="1:11">
      <c r="A103" s="270">
        <v>2040299</v>
      </c>
      <c r="B103" s="271" t="s">
        <v>346</v>
      </c>
      <c r="C103" s="268">
        <v>441.006328</v>
      </c>
      <c r="D103" s="268">
        <v>401.790328</v>
      </c>
      <c r="E103" s="268">
        <v>0</v>
      </c>
      <c r="F103" s="273">
        <v>163.510676</v>
      </c>
      <c r="G103" s="269">
        <f t="shared" si="12"/>
        <v>0.406955231635143</v>
      </c>
      <c r="H103" s="273">
        <v>391.068665</v>
      </c>
      <c r="I103" s="269">
        <f t="shared" ref="I103:I112" si="13">(F103-H103)/H103</f>
        <v>-0.581887554197164</v>
      </c>
      <c r="J103" s="273">
        <v>0</v>
      </c>
      <c r="K103" s="278"/>
    </row>
    <row r="104" ht="22" customHeight="1" spans="1:11">
      <c r="A104" s="270">
        <v>20404</v>
      </c>
      <c r="B104" s="271" t="s">
        <v>347</v>
      </c>
      <c r="C104" s="268">
        <v>11.571816</v>
      </c>
      <c r="D104" s="268">
        <v>13.3516</v>
      </c>
      <c r="E104" s="268">
        <v>0</v>
      </c>
      <c r="F104" s="273">
        <v>13.3516</v>
      </c>
      <c r="G104" s="269">
        <f t="shared" si="12"/>
        <v>1</v>
      </c>
      <c r="H104" s="273">
        <v>342.101379</v>
      </c>
      <c r="I104" s="269">
        <f t="shared" si="13"/>
        <v>-0.960971803039707</v>
      </c>
      <c r="J104" s="273">
        <v>0</v>
      </c>
      <c r="K104" s="278"/>
    </row>
    <row r="105" ht="22" customHeight="1" spans="1:11">
      <c r="A105" s="270">
        <v>2040401</v>
      </c>
      <c r="B105" s="271" t="s">
        <v>288</v>
      </c>
      <c r="C105" s="268">
        <v>11.571816</v>
      </c>
      <c r="D105" s="268">
        <v>13.3516</v>
      </c>
      <c r="E105" s="268">
        <v>0</v>
      </c>
      <c r="F105" s="273">
        <v>13.3516</v>
      </c>
      <c r="G105" s="269">
        <f t="shared" si="12"/>
        <v>1</v>
      </c>
      <c r="H105" s="273">
        <v>342.101379</v>
      </c>
      <c r="I105" s="269">
        <f t="shared" si="13"/>
        <v>-0.960971803039707</v>
      </c>
      <c r="J105" s="273">
        <v>0</v>
      </c>
      <c r="K105" s="278"/>
    </row>
    <row r="106" ht="22" customHeight="1" spans="1:11">
      <c r="A106" s="270">
        <v>20405</v>
      </c>
      <c r="B106" s="271" t="s">
        <v>348</v>
      </c>
      <c r="C106" s="268">
        <v>77.530424</v>
      </c>
      <c r="D106" s="268">
        <v>99.004044</v>
      </c>
      <c r="E106" s="268">
        <v>0</v>
      </c>
      <c r="F106" s="273">
        <v>97.44428</v>
      </c>
      <c r="G106" s="269">
        <f t="shared" si="12"/>
        <v>0.984245451630239</v>
      </c>
      <c r="H106" s="273">
        <v>560.019822</v>
      </c>
      <c r="I106" s="269">
        <f t="shared" si="13"/>
        <v>-0.825998516173951</v>
      </c>
      <c r="J106" s="273">
        <v>0</v>
      </c>
      <c r="K106" s="278"/>
    </row>
    <row r="107" ht="22" customHeight="1" spans="1:11">
      <c r="A107" s="270">
        <v>2040501</v>
      </c>
      <c r="B107" s="271" t="s">
        <v>288</v>
      </c>
      <c r="C107" s="268">
        <v>77.530424</v>
      </c>
      <c r="D107" s="268">
        <v>99.004044</v>
      </c>
      <c r="E107" s="268">
        <v>0</v>
      </c>
      <c r="F107" s="273">
        <v>97.44428</v>
      </c>
      <c r="G107" s="269">
        <f t="shared" si="12"/>
        <v>0.984245451630239</v>
      </c>
      <c r="H107" s="273">
        <v>560.019822</v>
      </c>
      <c r="I107" s="269">
        <f t="shared" si="13"/>
        <v>-0.825998516173951</v>
      </c>
      <c r="J107" s="273">
        <v>0</v>
      </c>
      <c r="K107" s="278"/>
    </row>
    <row r="108" ht="22" customHeight="1" spans="1:11">
      <c r="A108" s="270">
        <v>20406</v>
      </c>
      <c r="B108" s="271" t="s">
        <v>349</v>
      </c>
      <c r="C108" s="268">
        <v>1052.10512</v>
      </c>
      <c r="D108" s="268">
        <v>1065.862575</v>
      </c>
      <c r="E108" s="268">
        <v>25.2</v>
      </c>
      <c r="F108" s="273">
        <v>955.957982</v>
      </c>
      <c r="G108" s="269">
        <f t="shared" si="12"/>
        <v>0.896886713561549</v>
      </c>
      <c r="H108" s="273">
        <v>1109.964894</v>
      </c>
      <c r="I108" s="269">
        <f t="shared" si="13"/>
        <v>-0.138749353995335</v>
      </c>
      <c r="J108" s="273">
        <v>0</v>
      </c>
      <c r="K108" s="278"/>
    </row>
    <row r="109" ht="22" customHeight="1" spans="1:11">
      <c r="A109" s="270">
        <v>2040601</v>
      </c>
      <c r="B109" s="271" t="s">
        <v>288</v>
      </c>
      <c r="C109" s="272">
        <v>786.30512</v>
      </c>
      <c r="D109" s="272">
        <v>800.062575</v>
      </c>
      <c r="E109" s="272">
        <v>0</v>
      </c>
      <c r="F109" s="273">
        <v>798.530214</v>
      </c>
      <c r="G109" s="269">
        <f t="shared" si="12"/>
        <v>0.998084698562484</v>
      </c>
      <c r="H109" s="273">
        <v>963.724894</v>
      </c>
      <c r="I109" s="269">
        <f t="shared" si="13"/>
        <v>-0.171412693631218</v>
      </c>
      <c r="J109" s="273">
        <v>0</v>
      </c>
      <c r="K109" s="278"/>
    </row>
    <row r="110" ht="22" customHeight="1" spans="1:11">
      <c r="A110" s="270">
        <v>2040602</v>
      </c>
      <c r="B110" s="271" t="s">
        <v>294</v>
      </c>
      <c r="C110" s="268">
        <v>108</v>
      </c>
      <c r="D110" s="268">
        <v>108</v>
      </c>
      <c r="E110" s="268">
        <v>0</v>
      </c>
      <c r="F110" s="273">
        <v>21.947768</v>
      </c>
      <c r="G110" s="269">
        <f t="shared" si="12"/>
        <v>0.203220074074074</v>
      </c>
      <c r="H110" s="273">
        <v>105</v>
      </c>
      <c r="I110" s="269">
        <f t="shared" si="13"/>
        <v>-0.790973638095238</v>
      </c>
      <c r="J110" s="273">
        <v>0</v>
      </c>
      <c r="K110" s="278"/>
    </row>
    <row r="111" ht="22" customHeight="1" spans="1:11">
      <c r="A111" s="270">
        <v>2040604</v>
      </c>
      <c r="B111" s="271" t="s">
        <v>350</v>
      </c>
      <c r="C111" s="268">
        <v>20</v>
      </c>
      <c r="D111" s="268">
        <v>20</v>
      </c>
      <c r="E111" s="268">
        <v>25.2</v>
      </c>
      <c r="F111" s="273">
        <v>20</v>
      </c>
      <c r="G111" s="269">
        <f t="shared" si="12"/>
        <v>1</v>
      </c>
      <c r="H111" s="273">
        <v>16.24</v>
      </c>
      <c r="I111" s="269">
        <f t="shared" si="13"/>
        <v>0.231527093596059</v>
      </c>
      <c r="J111" s="273">
        <v>0</v>
      </c>
      <c r="K111" s="278"/>
    </row>
    <row r="112" ht="22" customHeight="1" spans="1:11">
      <c r="A112" s="270">
        <v>2040607</v>
      </c>
      <c r="B112" s="271" t="s">
        <v>351</v>
      </c>
      <c r="C112" s="268">
        <v>67.8</v>
      </c>
      <c r="D112" s="268">
        <v>67.8</v>
      </c>
      <c r="E112" s="268">
        <v>0</v>
      </c>
      <c r="F112" s="273">
        <v>45.48</v>
      </c>
      <c r="G112" s="269">
        <f t="shared" si="12"/>
        <v>0.670796460176991</v>
      </c>
      <c r="H112" s="273">
        <v>22</v>
      </c>
      <c r="I112" s="269">
        <f t="shared" si="13"/>
        <v>1.06727272727273</v>
      </c>
      <c r="J112" s="273">
        <v>0</v>
      </c>
      <c r="K112" s="278"/>
    </row>
    <row r="113" ht="22" customHeight="1" spans="1:11">
      <c r="A113" s="274">
        <v>2040612</v>
      </c>
      <c r="B113" s="271" t="s">
        <v>352</v>
      </c>
      <c r="C113" s="268">
        <v>70</v>
      </c>
      <c r="D113" s="268">
        <v>70</v>
      </c>
      <c r="E113" s="268">
        <v>0</v>
      </c>
      <c r="F113" s="273">
        <v>70</v>
      </c>
      <c r="G113" s="269">
        <f t="shared" si="12"/>
        <v>1</v>
      </c>
      <c r="H113" s="273">
        <v>0</v>
      </c>
      <c r="I113" s="269">
        <v>0</v>
      </c>
      <c r="J113" s="273">
        <v>0</v>
      </c>
      <c r="K113" s="278"/>
    </row>
    <row r="114" ht="22" customHeight="1" spans="1:11">
      <c r="A114" s="270">
        <v>2040699</v>
      </c>
      <c r="B114" s="271" t="s">
        <v>353</v>
      </c>
      <c r="C114" s="268">
        <v>0</v>
      </c>
      <c r="D114" s="268">
        <v>0</v>
      </c>
      <c r="E114" s="268">
        <v>0</v>
      </c>
      <c r="F114" s="273">
        <v>0</v>
      </c>
      <c r="G114" s="269">
        <v>0</v>
      </c>
      <c r="H114" s="273">
        <v>3</v>
      </c>
      <c r="I114" s="269">
        <f>(F114-H114)/H114</f>
        <v>-1</v>
      </c>
      <c r="J114" s="273">
        <v>0</v>
      </c>
      <c r="K114" s="278"/>
    </row>
    <row r="115" ht="22" customHeight="1" spans="1:11">
      <c r="A115" s="270">
        <v>20409</v>
      </c>
      <c r="B115" s="271" t="s">
        <v>354</v>
      </c>
      <c r="C115" s="268">
        <v>0</v>
      </c>
      <c r="D115" s="268">
        <v>0</v>
      </c>
      <c r="E115" s="268">
        <v>0</v>
      </c>
      <c r="F115" s="273">
        <v>0</v>
      </c>
      <c r="G115" s="269">
        <v>0</v>
      </c>
      <c r="H115" s="273">
        <v>57.5784</v>
      </c>
      <c r="I115" s="269">
        <f>(F115-H115)/H115</f>
        <v>-1</v>
      </c>
      <c r="J115" s="273">
        <v>0</v>
      </c>
      <c r="K115" s="278"/>
    </row>
    <row r="116" ht="22" customHeight="1" spans="1:11">
      <c r="A116" s="270">
        <v>2040905</v>
      </c>
      <c r="B116" s="271" t="s">
        <v>355</v>
      </c>
      <c r="C116" s="268">
        <v>0</v>
      </c>
      <c r="D116" s="268">
        <v>0</v>
      </c>
      <c r="E116" s="268">
        <v>0</v>
      </c>
      <c r="F116" s="273">
        <v>0</v>
      </c>
      <c r="G116" s="269">
        <v>0</v>
      </c>
      <c r="H116" s="273">
        <v>57.5784</v>
      </c>
      <c r="I116" s="269">
        <f>(F116-H116)/H116</f>
        <v>-1</v>
      </c>
      <c r="J116" s="273">
        <v>0</v>
      </c>
      <c r="K116" s="278"/>
    </row>
    <row r="117" ht="22" customHeight="1" spans="1:11">
      <c r="A117" s="270">
        <v>205</v>
      </c>
      <c r="B117" s="271" t="s">
        <v>356</v>
      </c>
      <c r="C117" s="268">
        <v>58704.304563</v>
      </c>
      <c r="D117" s="268">
        <v>59772.026826</v>
      </c>
      <c r="E117" s="268">
        <v>12210.196</v>
      </c>
      <c r="F117" s="273">
        <v>57800.923169</v>
      </c>
      <c r="G117" s="269">
        <f t="shared" ref="G117:G145" si="14">F117/D117</f>
        <v>0.967022974430196</v>
      </c>
      <c r="H117" s="273">
        <v>75254.785067</v>
      </c>
      <c r="I117" s="269">
        <f t="shared" ref="I117:I125" si="15">(F117-H117)/H117</f>
        <v>-0.231930260414147</v>
      </c>
      <c r="J117" s="273">
        <v>5707.647617</v>
      </c>
      <c r="K117" s="278"/>
    </row>
    <row r="118" ht="22" customHeight="1" spans="1:11">
      <c r="A118" s="270">
        <v>20501</v>
      </c>
      <c r="B118" s="271" t="s">
        <v>357</v>
      </c>
      <c r="C118" s="268">
        <v>1159.504317</v>
      </c>
      <c r="D118" s="268">
        <v>1269.816459</v>
      </c>
      <c r="E118" s="268">
        <v>0</v>
      </c>
      <c r="F118" s="273">
        <v>1284.677648</v>
      </c>
      <c r="G118" s="269">
        <f t="shared" si="14"/>
        <v>1.01170341500511</v>
      </c>
      <c r="H118" s="273">
        <v>1492.658515</v>
      </c>
      <c r="I118" s="269">
        <f t="shared" si="15"/>
        <v>-0.139335866114025</v>
      </c>
      <c r="J118" s="273">
        <v>0</v>
      </c>
      <c r="K118" s="278"/>
    </row>
    <row r="119" ht="22" customHeight="1" spans="1:11">
      <c r="A119" s="270">
        <v>2050101</v>
      </c>
      <c r="B119" s="271" t="s">
        <v>288</v>
      </c>
      <c r="C119" s="268">
        <v>1131.004317</v>
      </c>
      <c r="D119" s="268">
        <v>1236.624159</v>
      </c>
      <c r="E119" s="268">
        <v>0</v>
      </c>
      <c r="F119" s="273">
        <v>1251.502292</v>
      </c>
      <c r="G119" s="269">
        <f t="shared" si="14"/>
        <v>1.0120312488574</v>
      </c>
      <c r="H119" s="273">
        <v>1480.038515</v>
      </c>
      <c r="I119" s="269">
        <f t="shared" si="15"/>
        <v>-0.154412348519187</v>
      </c>
      <c r="J119" s="273">
        <v>0</v>
      </c>
      <c r="K119" s="278"/>
    </row>
    <row r="120" ht="22" customHeight="1" spans="1:11">
      <c r="A120" s="270">
        <v>2050199</v>
      </c>
      <c r="B120" s="271" t="s">
        <v>358</v>
      </c>
      <c r="C120" s="268">
        <v>28.5</v>
      </c>
      <c r="D120" s="268">
        <v>33.1923</v>
      </c>
      <c r="E120" s="268">
        <v>0</v>
      </c>
      <c r="F120" s="273">
        <v>33.175356</v>
      </c>
      <c r="G120" s="269">
        <f t="shared" si="14"/>
        <v>0.999489520159796</v>
      </c>
      <c r="H120" s="273">
        <v>12.62</v>
      </c>
      <c r="I120" s="269">
        <f t="shared" si="15"/>
        <v>1.62879207606973</v>
      </c>
      <c r="J120" s="273">
        <v>0</v>
      </c>
      <c r="K120" s="278"/>
    </row>
    <row r="121" ht="22" customHeight="1" spans="1:11">
      <c r="A121" s="270">
        <v>20502</v>
      </c>
      <c r="B121" s="271" t="s">
        <v>359</v>
      </c>
      <c r="C121" s="268">
        <v>53064.364413</v>
      </c>
      <c r="D121" s="268">
        <v>54715.335019</v>
      </c>
      <c r="E121" s="268">
        <v>9907.496</v>
      </c>
      <c r="F121" s="273">
        <v>52583.439907</v>
      </c>
      <c r="G121" s="269">
        <f t="shared" si="14"/>
        <v>0.961036606807585</v>
      </c>
      <c r="H121" s="273">
        <v>68471.73488</v>
      </c>
      <c r="I121" s="269">
        <f t="shared" si="15"/>
        <v>-0.232041659245892</v>
      </c>
      <c r="J121" s="273">
        <v>5562.647617</v>
      </c>
      <c r="K121" s="278"/>
    </row>
    <row r="122" ht="22" customHeight="1" spans="1:11">
      <c r="A122" s="270">
        <v>2050201</v>
      </c>
      <c r="B122" s="271" t="s">
        <v>360</v>
      </c>
      <c r="C122" s="268">
        <v>7299.334693</v>
      </c>
      <c r="D122" s="268">
        <v>7413.678773</v>
      </c>
      <c r="E122" s="268">
        <v>1386.595</v>
      </c>
      <c r="F122" s="273">
        <v>6482.910253</v>
      </c>
      <c r="G122" s="269">
        <f t="shared" si="14"/>
        <v>0.874452542590626</v>
      </c>
      <c r="H122" s="273">
        <v>7274.379549</v>
      </c>
      <c r="I122" s="269">
        <f t="shared" si="15"/>
        <v>-0.108802309622242</v>
      </c>
      <c r="J122" s="273">
        <v>489.741268</v>
      </c>
      <c r="K122" s="278"/>
    </row>
    <row r="123" ht="22" customHeight="1" spans="1:11">
      <c r="A123" s="270">
        <v>2050202</v>
      </c>
      <c r="B123" s="271" t="s">
        <v>361</v>
      </c>
      <c r="C123" s="268">
        <v>26032.380578</v>
      </c>
      <c r="D123" s="268">
        <v>27033.748431</v>
      </c>
      <c r="E123" s="268">
        <v>4086.9646</v>
      </c>
      <c r="F123" s="273">
        <v>26044.673167</v>
      </c>
      <c r="G123" s="269">
        <f t="shared" si="14"/>
        <v>0.963413314046164</v>
      </c>
      <c r="H123" s="273">
        <v>35008.63667</v>
      </c>
      <c r="I123" s="269">
        <f t="shared" si="15"/>
        <v>-0.25605005951807</v>
      </c>
      <c r="J123" s="273">
        <v>2913.217202</v>
      </c>
      <c r="K123" s="278"/>
    </row>
    <row r="124" ht="22" customHeight="1" spans="1:11">
      <c r="A124" s="270">
        <v>2050203</v>
      </c>
      <c r="B124" s="271" t="s">
        <v>362</v>
      </c>
      <c r="C124" s="268">
        <v>14737.174865</v>
      </c>
      <c r="D124" s="268">
        <v>15271.714541</v>
      </c>
      <c r="E124" s="268">
        <v>1713.6954</v>
      </c>
      <c r="F124" s="273">
        <v>14951.88473</v>
      </c>
      <c r="G124" s="269">
        <f t="shared" si="14"/>
        <v>0.979057373673313</v>
      </c>
      <c r="H124" s="273">
        <v>18988.979094</v>
      </c>
      <c r="I124" s="269">
        <f t="shared" si="15"/>
        <v>-0.212601970017209</v>
      </c>
      <c r="J124" s="273">
        <v>1335.196437</v>
      </c>
      <c r="K124" s="278"/>
    </row>
    <row r="125" ht="22" customHeight="1" spans="1:11">
      <c r="A125" s="270">
        <v>2050204</v>
      </c>
      <c r="B125" s="271" t="s">
        <v>363</v>
      </c>
      <c r="C125" s="268">
        <v>4316.514277</v>
      </c>
      <c r="D125" s="268">
        <v>4241.123274</v>
      </c>
      <c r="E125" s="268">
        <v>851.024</v>
      </c>
      <c r="F125" s="273">
        <v>4762.828907</v>
      </c>
      <c r="G125" s="269">
        <f t="shared" si="14"/>
        <v>1.12301119285975</v>
      </c>
      <c r="H125" s="273">
        <v>6734.739567</v>
      </c>
      <c r="I125" s="269">
        <f t="shared" si="15"/>
        <v>-0.292796869185899</v>
      </c>
      <c r="J125" s="273">
        <v>292.69196</v>
      </c>
      <c r="K125" s="278"/>
    </row>
    <row r="126" ht="22" customHeight="1" spans="1:11">
      <c r="A126" s="270">
        <v>2050205</v>
      </c>
      <c r="B126" s="271" t="s">
        <v>364</v>
      </c>
      <c r="C126" s="268">
        <v>0</v>
      </c>
      <c r="D126" s="268">
        <v>0</v>
      </c>
      <c r="E126" s="268">
        <v>1.69</v>
      </c>
      <c r="F126" s="273">
        <v>0</v>
      </c>
      <c r="G126" s="269">
        <v>0</v>
      </c>
      <c r="H126" s="273">
        <v>0</v>
      </c>
      <c r="I126" s="269"/>
      <c r="J126" s="273">
        <v>1.485</v>
      </c>
      <c r="K126" s="278"/>
    </row>
    <row r="127" ht="22" customHeight="1" spans="1:11">
      <c r="A127" s="270">
        <v>2050299</v>
      </c>
      <c r="B127" s="271" t="s">
        <v>365</v>
      </c>
      <c r="C127" s="268">
        <v>678.96</v>
      </c>
      <c r="D127" s="268">
        <v>755.07</v>
      </c>
      <c r="E127" s="268">
        <v>1867.527</v>
      </c>
      <c r="F127" s="273">
        <v>341.14285</v>
      </c>
      <c r="G127" s="269">
        <f t="shared" si="14"/>
        <v>0.451802945422279</v>
      </c>
      <c r="H127" s="273">
        <v>465</v>
      </c>
      <c r="I127" s="269">
        <f>(F127-H127)/H127</f>
        <v>-0.266359462365591</v>
      </c>
      <c r="J127" s="273">
        <v>530.31575</v>
      </c>
      <c r="K127" s="278"/>
    </row>
    <row r="128" ht="22" customHeight="1" spans="1:11">
      <c r="A128" s="270">
        <v>20503</v>
      </c>
      <c r="B128" s="271" t="s">
        <v>366</v>
      </c>
      <c r="C128" s="268">
        <v>640.376432</v>
      </c>
      <c r="D128" s="268">
        <v>638.146932</v>
      </c>
      <c r="E128" s="268">
        <v>20</v>
      </c>
      <c r="F128" s="273">
        <v>644.04742</v>
      </c>
      <c r="G128" s="269">
        <f t="shared" si="14"/>
        <v>1.00924628436512</v>
      </c>
      <c r="H128" s="273">
        <v>821.304768</v>
      </c>
      <c r="I128" s="269">
        <f>(F128-H128)/H128</f>
        <v>-0.215824082492116</v>
      </c>
      <c r="J128" s="273">
        <v>0</v>
      </c>
      <c r="K128" s="278"/>
    </row>
    <row r="129" ht="22" customHeight="1" spans="1:11">
      <c r="A129" s="270">
        <v>2050301</v>
      </c>
      <c r="B129" s="271" t="s">
        <v>367</v>
      </c>
      <c r="C129" s="268">
        <v>433.041232</v>
      </c>
      <c r="D129" s="268">
        <v>439.229832</v>
      </c>
      <c r="E129" s="268">
        <v>0</v>
      </c>
      <c r="F129" s="273">
        <v>445.62782</v>
      </c>
      <c r="G129" s="269">
        <f t="shared" si="14"/>
        <v>1.01456637854234</v>
      </c>
      <c r="H129" s="273">
        <v>821.304768</v>
      </c>
      <c r="I129" s="269">
        <f>(F129-H129)/H129</f>
        <v>-0.457414790023476</v>
      </c>
      <c r="J129" s="273">
        <v>0</v>
      </c>
      <c r="K129" s="278"/>
    </row>
    <row r="130" ht="22" customHeight="1" spans="1:11">
      <c r="A130" s="270">
        <v>2050302</v>
      </c>
      <c r="B130" s="271" t="s">
        <v>368</v>
      </c>
      <c r="C130" s="268">
        <v>207.3352</v>
      </c>
      <c r="D130" s="268">
        <v>198.9171</v>
      </c>
      <c r="E130" s="268">
        <v>0</v>
      </c>
      <c r="F130" s="273">
        <v>198.4196</v>
      </c>
      <c r="G130" s="269">
        <f t="shared" si="14"/>
        <v>0.997498958108679</v>
      </c>
      <c r="H130" s="273">
        <v>0</v>
      </c>
      <c r="I130" s="269">
        <v>0</v>
      </c>
      <c r="J130" s="273">
        <v>0</v>
      </c>
      <c r="K130" s="278"/>
    </row>
    <row r="131" ht="22" customHeight="1" spans="1:11">
      <c r="A131" s="270">
        <v>2050399</v>
      </c>
      <c r="B131" s="271" t="s">
        <v>369</v>
      </c>
      <c r="C131" s="268">
        <v>0</v>
      </c>
      <c r="D131" s="268">
        <v>0</v>
      </c>
      <c r="E131" s="268">
        <v>20</v>
      </c>
      <c r="F131" s="273">
        <v>0</v>
      </c>
      <c r="G131" s="269">
        <v>0</v>
      </c>
      <c r="H131" s="273">
        <v>0</v>
      </c>
      <c r="I131" s="269">
        <v>0</v>
      </c>
      <c r="J131" s="273">
        <v>0</v>
      </c>
      <c r="K131" s="278"/>
    </row>
    <row r="132" ht="22" customHeight="1" spans="1:11">
      <c r="A132" s="270">
        <v>20504</v>
      </c>
      <c r="B132" s="271" t="s">
        <v>370</v>
      </c>
      <c r="C132" s="268">
        <v>0</v>
      </c>
      <c r="D132" s="268">
        <v>0</v>
      </c>
      <c r="E132" s="268">
        <v>7.2</v>
      </c>
      <c r="F132" s="273">
        <v>0</v>
      </c>
      <c r="G132" s="269">
        <v>0</v>
      </c>
      <c r="H132" s="273">
        <v>0</v>
      </c>
      <c r="I132" s="269">
        <v>0</v>
      </c>
      <c r="J132" s="273">
        <v>0</v>
      </c>
      <c r="K132" s="278"/>
    </row>
    <row r="133" ht="22" customHeight="1" spans="1:11">
      <c r="A133" s="270">
        <v>2050499</v>
      </c>
      <c r="B133" s="271" t="s">
        <v>371</v>
      </c>
      <c r="C133" s="268">
        <v>0</v>
      </c>
      <c r="D133" s="268">
        <v>0</v>
      </c>
      <c r="E133" s="268">
        <v>7.2</v>
      </c>
      <c r="F133" s="273">
        <v>0</v>
      </c>
      <c r="G133" s="269">
        <v>0</v>
      </c>
      <c r="H133" s="273">
        <v>0</v>
      </c>
      <c r="I133" s="269">
        <v>0</v>
      </c>
      <c r="J133" s="273">
        <v>0</v>
      </c>
      <c r="K133" s="278"/>
    </row>
    <row r="134" ht="22" customHeight="1" spans="1:11">
      <c r="A134" s="270">
        <v>20507</v>
      </c>
      <c r="B134" s="271" t="s">
        <v>372</v>
      </c>
      <c r="C134" s="268">
        <v>538.990615</v>
      </c>
      <c r="D134" s="268">
        <v>542.08083</v>
      </c>
      <c r="E134" s="268">
        <v>0</v>
      </c>
      <c r="F134" s="273">
        <v>540.860046</v>
      </c>
      <c r="G134" s="269">
        <f t="shared" ref="G134:G140" si="16">F134/D134</f>
        <v>0.997747966848413</v>
      </c>
      <c r="H134" s="273">
        <v>660.071855</v>
      </c>
      <c r="I134" s="269">
        <f t="shared" ref="I134:I139" si="17">(F134-H134)/H134</f>
        <v>-0.18060429042229</v>
      </c>
      <c r="J134" s="273">
        <v>0</v>
      </c>
      <c r="K134" s="278"/>
    </row>
    <row r="135" ht="22" customHeight="1" spans="1:11">
      <c r="A135" s="270">
        <v>2050701</v>
      </c>
      <c r="B135" s="271" t="s">
        <v>373</v>
      </c>
      <c r="C135" s="268">
        <v>538.990615</v>
      </c>
      <c r="D135" s="268">
        <v>542.08083</v>
      </c>
      <c r="E135" s="268">
        <v>0</v>
      </c>
      <c r="F135" s="273">
        <v>540.860046</v>
      </c>
      <c r="G135" s="269">
        <f t="shared" si="16"/>
        <v>0.997747966848413</v>
      </c>
      <c r="H135" s="273">
        <v>660.071855</v>
      </c>
      <c r="I135" s="269">
        <f t="shared" si="17"/>
        <v>-0.18060429042229</v>
      </c>
      <c r="J135" s="273">
        <v>0</v>
      </c>
      <c r="K135" s="278"/>
    </row>
    <row r="136" ht="22" customHeight="1" spans="1:11">
      <c r="A136" s="270">
        <v>20508</v>
      </c>
      <c r="B136" s="271" t="s">
        <v>374</v>
      </c>
      <c r="C136" s="268">
        <v>501.069078</v>
      </c>
      <c r="D136" s="268">
        <v>506.647878</v>
      </c>
      <c r="E136" s="268">
        <v>0</v>
      </c>
      <c r="F136" s="273">
        <v>502.85484</v>
      </c>
      <c r="G136" s="269">
        <f t="shared" si="16"/>
        <v>0.992513463167016</v>
      </c>
      <c r="H136" s="273">
        <v>567.071478</v>
      </c>
      <c r="I136" s="269">
        <f t="shared" si="17"/>
        <v>-0.113242581387597</v>
      </c>
      <c r="J136" s="273">
        <v>0</v>
      </c>
      <c r="K136" s="278"/>
    </row>
    <row r="137" ht="22" customHeight="1" spans="1:11">
      <c r="A137" s="270">
        <v>2050801</v>
      </c>
      <c r="B137" s="271" t="s">
        <v>375</v>
      </c>
      <c r="C137" s="268">
        <v>20.4712</v>
      </c>
      <c r="D137" s="268">
        <v>20.4712</v>
      </c>
      <c r="E137" s="268">
        <v>0</v>
      </c>
      <c r="F137" s="273">
        <v>19</v>
      </c>
      <c r="G137" s="269">
        <f t="shared" si="16"/>
        <v>0.928133182226738</v>
      </c>
      <c r="H137" s="273">
        <v>16.5</v>
      </c>
      <c r="I137" s="269">
        <f t="shared" si="17"/>
        <v>0.151515151515152</v>
      </c>
      <c r="J137" s="273">
        <v>0</v>
      </c>
      <c r="K137" s="278"/>
    </row>
    <row r="138" ht="22" customHeight="1" spans="1:11">
      <c r="A138" s="270">
        <v>2050802</v>
      </c>
      <c r="B138" s="271" t="s">
        <v>376</v>
      </c>
      <c r="C138" s="268">
        <v>480.597878</v>
      </c>
      <c r="D138" s="268">
        <v>486.176678</v>
      </c>
      <c r="E138" s="268">
        <v>0</v>
      </c>
      <c r="F138" s="273">
        <v>483.85484</v>
      </c>
      <c r="G138" s="269">
        <f t="shared" si="16"/>
        <v>0.995224291692577</v>
      </c>
      <c r="H138" s="273">
        <v>550.571478</v>
      </c>
      <c r="I138" s="269">
        <f t="shared" si="17"/>
        <v>-0.121177069038073</v>
      </c>
      <c r="J138" s="273">
        <v>0</v>
      </c>
      <c r="K138" s="278"/>
    </row>
    <row r="139" ht="22" customHeight="1" spans="1:11">
      <c r="A139" s="270">
        <v>20509</v>
      </c>
      <c r="B139" s="283" t="s">
        <v>377</v>
      </c>
      <c r="C139" s="268">
        <v>2799.999708</v>
      </c>
      <c r="D139" s="268">
        <v>2099.999708</v>
      </c>
      <c r="E139" s="268">
        <v>0</v>
      </c>
      <c r="F139" s="273">
        <v>2245.043308</v>
      </c>
      <c r="G139" s="269">
        <f t="shared" si="16"/>
        <v>1.06906839055618</v>
      </c>
      <c r="H139" s="273">
        <v>3212.749621</v>
      </c>
      <c r="I139" s="269">
        <f t="shared" si="17"/>
        <v>-0.301208132334568</v>
      </c>
      <c r="J139" s="273">
        <v>0</v>
      </c>
      <c r="K139" s="278"/>
    </row>
    <row r="140" ht="41" customHeight="1" spans="1:11">
      <c r="A140" s="270">
        <v>2050999</v>
      </c>
      <c r="B140" s="271" t="s">
        <v>378</v>
      </c>
      <c r="C140" s="268">
        <v>2799.999708</v>
      </c>
      <c r="D140" s="268">
        <v>2099.999708</v>
      </c>
      <c r="E140" s="268">
        <v>0</v>
      </c>
      <c r="F140" s="273">
        <v>2245.043308</v>
      </c>
      <c r="G140" s="269">
        <f t="shared" si="16"/>
        <v>1.06906839055618</v>
      </c>
      <c r="H140" s="273">
        <v>3212.749621</v>
      </c>
      <c r="I140" s="269">
        <f t="shared" ref="I140:I146" si="18">(F140-H140)/H140</f>
        <v>-0.301208132334568</v>
      </c>
      <c r="J140" s="273">
        <v>0</v>
      </c>
      <c r="K140" s="278"/>
    </row>
    <row r="141" ht="22" customHeight="1" spans="1:11">
      <c r="A141" s="270">
        <v>20599</v>
      </c>
      <c r="B141" s="271" t="s">
        <v>379</v>
      </c>
      <c r="C141" s="268">
        <v>0</v>
      </c>
      <c r="D141" s="268">
        <v>0</v>
      </c>
      <c r="E141" s="268">
        <v>2275.5</v>
      </c>
      <c r="F141" s="273">
        <v>0</v>
      </c>
      <c r="G141" s="269">
        <v>0</v>
      </c>
      <c r="H141" s="273">
        <v>29.19395</v>
      </c>
      <c r="I141" s="269">
        <f t="shared" si="18"/>
        <v>-1</v>
      </c>
      <c r="J141" s="273">
        <v>145</v>
      </c>
      <c r="K141" s="278"/>
    </row>
    <row r="142" ht="22" customHeight="1" spans="1:11">
      <c r="A142" s="270">
        <v>2059999</v>
      </c>
      <c r="B142" s="271" t="s">
        <v>380</v>
      </c>
      <c r="C142" s="268">
        <v>0</v>
      </c>
      <c r="D142" s="268">
        <v>0</v>
      </c>
      <c r="E142" s="268">
        <v>2275.5</v>
      </c>
      <c r="F142" s="273">
        <v>0</v>
      </c>
      <c r="G142" s="269">
        <v>0</v>
      </c>
      <c r="H142" s="273">
        <v>29.19395</v>
      </c>
      <c r="I142" s="269">
        <f t="shared" si="18"/>
        <v>-1</v>
      </c>
      <c r="J142" s="273">
        <v>145</v>
      </c>
      <c r="K142" s="278"/>
    </row>
    <row r="143" ht="22" customHeight="1" spans="1:11">
      <c r="A143" s="270">
        <v>206</v>
      </c>
      <c r="B143" s="271" t="s">
        <v>381</v>
      </c>
      <c r="C143" s="268">
        <v>1004.980713</v>
      </c>
      <c r="D143" s="268">
        <v>1142.052925</v>
      </c>
      <c r="E143" s="268">
        <v>140</v>
      </c>
      <c r="F143" s="273">
        <v>1242.141604</v>
      </c>
      <c r="G143" s="269">
        <f t="shared" ref="G143:G148" si="19">F143/D143</f>
        <v>1.0876392650542</v>
      </c>
      <c r="H143" s="273">
        <v>1358.177405</v>
      </c>
      <c r="I143" s="269">
        <f t="shared" si="18"/>
        <v>-0.0854349369771764</v>
      </c>
      <c r="J143" s="273">
        <v>124.05</v>
      </c>
      <c r="K143" s="278"/>
    </row>
    <row r="144" ht="22" customHeight="1" spans="1:11">
      <c r="A144" s="270">
        <v>20601</v>
      </c>
      <c r="B144" s="271" t="s">
        <v>382</v>
      </c>
      <c r="C144" s="268">
        <v>905.980713</v>
      </c>
      <c r="D144" s="268">
        <v>1043.052925</v>
      </c>
      <c r="E144" s="268">
        <v>0</v>
      </c>
      <c r="F144" s="273">
        <v>875.978258</v>
      </c>
      <c r="G144" s="269">
        <f t="shared" si="19"/>
        <v>0.839821486527158</v>
      </c>
      <c r="H144" s="273">
        <v>928.294275</v>
      </c>
      <c r="I144" s="269">
        <f t="shared" si="18"/>
        <v>-0.0563571470910989</v>
      </c>
      <c r="J144" s="273">
        <v>0</v>
      </c>
      <c r="K144" s="278"/>
    </row>
    <row r="145" ht="22" customHeight="1" spans="1:11">
      <c r="A145" s="270">
        <v>2060101</v>
      </c>
      <c r="B145" s="271" t="s">
        <v>288</v>
      </c>
      <c r="C145" s="268">
        <v>750.980713</v>
      </c>
      <c r="D145" s="268">
        <v>868.602925</v>
      </c>
      <c r="E145" s="268">
        <v>0</v>
      </c>
      <c r="F145" s="273">
        <v>862.040016</v>
      </c>
      <c r="G145" s="269">
        <f t="shared" si="19"/>
        <v>0.992444293230995</v>
      </c>
      <c r="H145" s="273">
        <v>921.299655</v>
      </c>
      <c r="I145" s="269">
        <f t="shared" si="18"/>
        <v>-0.0643217857277934</v>
      </c>
      <c r="J145" s="273">
        <v>0</v>
      </c>
      <c r="K145" s="278"/>
    </row>
    <row r="146" ht="38" customHeight="1" spans="1:11">
      <c r="A146" s="270">
        <v>2060102</v>
      </c>
      <c r="B146" s="271" t="s">
        <v>294</v>
      </c>
      <c r="C146" s="268">
        <v>5</v>
      </c>
      <c r="D146" s="268">
        <v>15</v>
      </c>
      <c r="E146" s="268">
        <v>0</v>
      </c>
      <c r="F146" s="273">
        <v>4.938242</v>
      </c>
      <c r="G146" s="269">
        <f t="shared" si="19"/>
        <v>0.329216133333333</v>
      </c>
      <c r="H146" s="273">
        <v>6.99462</v>
      </c>
      <c r="I146" s="269">
        <f t="shared" si="18"/>
        <v>-0.293994241288304</v>
      </c>
      <c r="J146" s="273">
        <v>0</v>
      </c>
      <c r="K146" s="278"/>
    </row>
    <row r="147" ht="38" customHeight="1" spans="1:11">
      <c r="A147" s="270">
        <v>2060199</v>
      </c>
      <c r="B147" s="271" t="s">
        <v>383</v>
      </c>
      <c r="C147" s="268">
        <v>150</v>
      </c>
      <c r="D147" s="268">
        <v>159.45</v>
      </c>
      <c r="E147" s="268">
        <v>0</v>
      </c>
      <c r="F147" s="273">
        <v>9</v>
      </c>
      <c r="G147" s="269">
        <f t="shared" si="19"/>
        <v>0.0564440263405456</v>
      </c>
      <c r="H147" s="273">
        <v>0</v>
      </c>
      <c r="I147" s="269">
        <v>0</v>
      </c>
      <c r="J147" s="273">
        <v>0</v>
      </c>
      <c r="K147" s="278"/>
    </row>
    <row r="148" ht="22" customHeight="1" spans="1:11">
      <c r="A148" s="270">
        <v>20604</v>
      </c>
      <c r="B148" s="271" t="s">
        <v>384</v>
      </c>
      <c r="C148" s="268">
        <v>99</v>
      </c>
      <c r="D148" s="268">
        <v>99</v>
      </c>
      <c r="E148" s="268">
        <v>122</v>
      </c>
      <c r="F148" s="273">
        <v>366.163346</v>
      </c>
      <c r="G148" s="269">
        <f t="shared" si="19"/>
        <v>3.69861965656566</v>
      </c>
      <c r="H148" s="273">
        <v>429.88313</v>
      </c>
      <c r="I148" s="269">
        <f>(F148-H148)/H148</f>
        <v>-0.148225830587955</v>
      </c>
      <c r="J148" s="273">
        <v>120</v>
      </c>
      <c r="K148" s="278"/>
    </row>
    <row r="149" ht="22" customHeight="1" spans="1:11">
      <c r="A149" s="270">
        <v>2060404</v>
      </c>
      <c r="B149" s="271" t="s">
        <v>385</v>
      </c>
      <c r="C149" s="268">
        <v>0</v>
      </c>
      <c r="D149" s="268">
        <v>0</v>
      </c>
      <c r="E149" s="268">
        <v>122</v>
      </c>
      <c r="F149" s="273">
        <v>0</v>
      </c>
      <c r="G149" s="269">
        <v>0</v>
      </c>
      <c r="H149" s="273">
        <v>0</v>
      </c>
      <c r="I149" s="269">
        <v>0</v>
      </c>
      <c r="J149" s="273">
        <v>120</v>
      </c>
      <c r="K149" s="278"/>
    </row>
    <row r="150" ht="22" customHeight="1" spans="1:11">
      <c r="A150" s="274">
        <v>2060499</v>
      </c>
      <c r="B150" s="271" t="s">
        <v>386</v>
      </c>
      <c r="C150" s="268">
        <v>99</v>
      </c>
      <c r="D150" s="268">
        <v>99</v>
      </c>
      <c r="E150" s="268">
        <v>0</v>
      </c>
      <c r="F150" s="273">
        <v>366.163346</v>
      </c>
      <c r="G150" s="269">
        <f>F150/D150</f>
        <v>3.69861965656566</v>
      </c>
      <c r="H150" s="273">
        <v>429.88313</v>
      </c>
      <c r="I150" s="269">
        <f>(F150-H150)/H150</f>
        <v>-0.148225830587955</v>
      </c>
      <c r="J150" s="273">
        <v>0</v>
      </c>
      <c r="K150" s="278"/>
    </row>
    <row r="151" ht="22" customHeight="1" spans="1:11">
      <c r="A151" s="270">
        <v>20607</v>
      </c>
      <c r="B151" s="271" t="s">
        <v>387</v>
      </c>
      <c r="C151" s="268">
        <v>0</v>
      </c>
      <c r="D151" s="268">
        <v>0</v>
      </c>
      <c r="E151" s="268">
        <v>18</v>
      </c>
      <c r="F151" s="273">
        <v>0</v>
      </c>
      <c r="G151" s="269">
        <v>0</v>
      </c>
      <c r="H151" s="273">
        <v>0</v>
      </c>
      <c r="I151" s="269">
        <v>0</v>
      </c>
      <c r="J151" s="273">
        <v>4.05</v>
      </c>
      <c r="K151" s="278"/>
    </row>
    <row r="152" ht="22" customHeight="1" spans="1:11">
      <c r="A152" s="270">
        <v>2060702</v>
      </c>
      <c r="B152" s="271" t="s">
        <v>388</v>
      </c>
      <c r="C152" s="268">
        <v>0</v>
      </c>
      <c r="D152" s="268">
        <v>0</v>
      </c>
      <c r="E152" s="268">
        <v>18</v>
      </c>
      <c r="F152" s="273">
        <v>0</v>
      </c>
      <c r="G152" s="269">
        <v>0</v>
      </c>
      <c r="H152" s="273">
        <v>0</v>
      </c>
      <c r="I152" s="269">
        <v>0</v>
      </c>
      <c r="J152" s="273">
        <v>4.05</v>
      </c>
      <c r="K152" s="278"/>
    </row>
    <row r="153" ht="22" customHeight="1" spans="1:11">
      <c r="A153" s="270">
        <v>207</v>
      </c>
      <c r="B153" s="271" t="s">
        <v>389</v>
      </c>
      <c r="C153" s="268">
        <v>943.692956</v>
      </c>
      <c r="D153" s="268">
        <v>1776.944582</v>
      </c>
      <c r="E153" s="268">
        <f>E154+E159+E163+E168+E171</f>
        <v>988.21</v>
      </c>
      <c r="F153" s="273">
        <f>F154+F159+F163+F168+F171</f>
        <v>1071.698017</v>
      </c>
      <c r="G153" s="269">
        <f>F153/D153</f>
        <v>0.603112797020251</v>
      </c>
      <c r="H153" s="273">
        <v>1562.770976</v>
      </c>
      <c r="I153" s="269">
        <f>(F153-H153)/H153</f>
        <v>-0.314232198154159</v>
      </c>
      <c r="J153" s="273">
        <f>J154+J159+J163+J168+J171</f>
        <v>195.197788</v>
      </c>
      <c r="K153" s="278"/>
    </row>
    <row r="154" ht="22" customHeight="1" spans="1:11">
      <c r="A154" s="270">
        <v>20701</v>
      </c>
      <c r="B154" s="271" t="s">
        <v>390</v>
      </c>
      <c r="C154" s="268">
        <v>639.601772</v>
      </c>
      <c r="D154" s="268">
        <v>1264.073672</v>
      </c>
      <c r="E154" s="268">
        <v>686.86</v>
      </c>
      <c r="F154" s="273">
        <v>668.730315</v>
      </c>
      <c r="G154" s="269">
        <f>F154/D154</f>
        <v>0.529027959218504</v>
      </c>
      <c r="H154" s="273">
        <v>942.490227</v>
      </c>
      <c r="I154" s="269">
        <f>(F154-H154)/H154</f>
        <v>-0.290464456985823</v>
      </c>
      <c r="J154" s="273">
        <v>91.851638</v>
      </c>
      <c r="K154" s="278"/>
    </row>
    <row r="155" ht="22" customHeight="1" spans="1:11">
      <c r="A155" s="270">
        <v>2070101</v>
      </c>
      <c r="B155" s="271" t="s">
        <v>288</v>
      </c>
      <c r="C155" s="268">
        <v>604.601772</v>
      </c>
      <c r="D155" s="268">
        <v>626.233672</v>
      </c>
      <c r="E155" s="268">
        <v>0</v>
      </c>
      <c r="F155" s="273">
        <v>615.490315</v>
      </c>
      <c r="G155" s="269">
        <f>F155/D155</f>
        <v>0.98284449163251</v>
      </c>
      <c r="H155" s="273">
        <v>851.975158</v>
      </c>
      <c r="I155" s="269">
        <f>(F155-H155)/H155</f>
        <v>-0.277572462975499</v>
      </c>
      <c r="J155" s="273">
        <v>0</v>
      </c>
      <c r="K155" s="278"/>
    </row>
    <row r="156" ht="22" customHeight="1" spans="1:11">
      <c r="A156" s="270">
        <v>2070111</v>
      </c>
      <c r="B156" s="271" t="s">
        <v>391</v>
      </c>
      <c r="C156" s="268">
        <v>0</v>
      </c>
      <c r="D156" s="268">
        <v>0</v>
      </c>
      <c r="E156" s="268">
        <v>0.5</v>
      </c>
      <c r="F156" s="273">
        <v>0</v>
      </c>
      <c r="G156" s="269">
        <v>0</v>
      </c>
      <c r="H156" s="273">
        <v>0</v>
      </c>
      <c r="I156" s="269">
        <v>0</v>
      </c>
      <c r="J156" s="273">
        <v>0</v>
      </c>
      <c r="K156" s="278"/>
    </row>
    <row r="157" ht="22" customHeight="1" spans="1:11">
      <c r="A157" s="270">
        <v>2070113</v>
      </c>
      <c r="B157" s="271" t="s">
        <v>392</v>
      </c>
      <c r="C157" s="268">
        <v>0</v>
      </c>
      <c r="D157" s="268">
        <v>602</v>
      </c>
      <c r="E157" s="268">
        <v>0</v>
      </c>
      <c r="F157" s="273">
        <v>0</v>
      </c>
      <c r="G157" s="269">
        <f>F157/D157</f>
        <v>0</v>
      </c>
      <c r="H157" s="273">
        <v>74.8066</v>
      </c>
      <c r="I157" s="269">
        <f t="shared" ref="I157:I167" si="20">(F157-H157)/H157</f>
        <v>-1</v>
      </c>
      <c r="J157" s="273">
        <v>0</v>
      </c>
      <c r="K157" s="278"/>
    </row>
    <row r="158" ht="22" customHeight="1" spans="1:11">
      <c r="A158" s="270">
        <v>2070199</v>
      </c>
      <c r="B158" s="271" t="s">
        <v>393</v>
      </c>
      <c r="C158" s="268">
        <v>35</v>
      </c>
      <c r="D158" s="268">
        <v>35.84</v>
      </c>
      <c r="E158" s="268">
        <v>686.36</v>
      </c>
      <c r="F158" s="273">
        <v>53.24</v>
      </c>
      <c r="G158" s="269">
        <f>F158/D158</f>
        <v>1.48549107142857</v>
      </c>
      <c r="H158" s="273">
        <v>15.708469</v>
      </c>
      <c r="I158" s="269">
        <f t="shared" si="20"/>
        <v>2.38925454797664</v>
      </c>
      <c r="J158" s="273">
        <v>91.851638</v>
      </c>
      <c r="K158" s="278"/>
    </row>
    <row r="159" ht="22" customHeight="1" spans="1:11">
      <c r="A159" s="270">
        <v>20702</v>
      </c>
      <c r="B159" s="271" t="s">
        <v>394</v>
      </c>
      <c r="C159" s="268">
        <v>72.724896</v>
      </c>
      <c r="D159" s="268">
        <v>72.724896</v>
      </c>
      <c r="E159" s="268">
        <f>SUM(E160:E162)</f>
        <v>80</v>
      </c>
      <c r="F159" s="273">
        <f>SUM(F160:F162)</f>
        <v>170.724896</v>
      </c>
      <c r="G159" s="269">
        <f>F159/D159</f>
        <v>2.34754403773915</v>
      </c>
      <c r="H159" s="273">
        <v>405.325648</v>
      </c>
      <c r="I159" s="269">
        <f t="shared" si="20"/>
        <v>-0.578795724271562</v>
      </c>
      <c r="J159" s="273">
        <f>SUM(J160:J162)</f>
        <v>36.91026</v>
      </c>
      <c r="K159" s="278"/>
    </row>
    <row r="160" ht="22" customHeight="1" spans="1:11">
      <c r="A160" s="270">
        <v>2070201</v>
      </c>
      <c r="B160" s="271" t="s">
        <v>288</v>
      </c>
      <c r="C160" s="268">
        <v>72.724896</v>
      </c>
      <c r="D160" s="268">
        <v>72.724896</v>
      </c>
      <c r="E160" s="268">
        <v>0</v>
      </c>
      <c r="F160" s="273">
        <v>72.724896</v>
      </c>
      <c r="G160" s="269">
        <f>F160/D160</f>
        <v>1</v>
      </c>
      <c r="H160" s="273">
        <v>72.125648</v>
      </c>
      <c r="I160" s="269">
        <f t="shared" si="20"/>
        <v>0.00830838982548903</v>
      </c>
      <c r="J160" s="273">
        <v>0</v>
      </c>
      <c r="K160" s="278"/>
    </row>
    <row r="161" ht="22" customHeight="1" spans="1:11">
      <c r="A161" s="270">
        <v>2070204</v>
      </c>
      <c r="B161" s="271" t="s">
        <v>395</v>
      </c>
      <c r="C161" s="268">
        <v>0</v>
      </c>
      <c r="D161" s="268">
        <v>0</v>
      </c>
      <c r="E161" s="268">
        <v>0</v>
      </c>
      <c r="F161" s="273">
        <v>98</v>
      </c>
      <c r="G161" s="269">
        <v>0</v>
      </c>
      <c r="H161" s="273">
        <v>253.2</v>
      </c>
      <c r="I161" s="269">
        <f t="shared" si="20"/>
        <v>-0.612954186413902</v>
      </c>
      <c r="J161" s="273">
        <v>0</v>
      </c>
      <c r="K161" s="278"/>
    </row>
    <row r="162" ht="22" customHeight="1" spans="1:11">
      <c r="A162" s="270">
        <v>2070205</v>
      </c>
      <c r="B162" s="271" t="s">
        <v>396</v>
      </c>
      <c r="C162" s="268">
        <v>0</v>
      </c>
      <c r="D162" s="268">
        <v>0</v>
      </c>
      <c r="E162" s="268">
        <v>80</v>
      </c>
      <c r="F162" s="268">
        <v>0</v>
      </c>
      <c r="G162" s="269">
        <v>0</v>
      </c>
      <c r="H162" s="268">
        <v>80</v>
      </c>
      <c r="I162" s="269">
        <f t="shared" si="20"/>
        <v>-1</v>
      </c>
      <c r="J162" s="268">
        <v>36.91026</v>
      </c>
      <c r="K162" s="284"/>
    </row>
    <row r="163" ht="22" customHeight="1" spans="1:11">
      <c r="A163" s="270">
        <v>20703</v>
      </c>
      <c r="B163" s="271" t="s">
        <v>397</v>
      </c>
      <c r="C163" s="268">
        <v>47.335832</v>
      </c>
      <c r="D163" s="268">
        <v>49.708732</v>
      </c>
      <c r="E163" s="268">
        <v>83.45</v>
      </c>
      <c r="F163" s="273">
        <v>46.505315</v>
      </c>
      <c r="G163" s="269">
        <f>F163/D163</f>
        <v>0.935556251967964</v>
      </c>
      <c r="H163" s="273">
        <v>65.687123</v>
      </c>
      <c r="I163" s="269">
        <f t="shared" si="20"/>
        <v>-0.292017782541641</v>
      </c>
      <c r="J163" s="273">
        <v>66.43589</v>
      </c>
      <c r="K163" s="278"/>
    </row>
    <row r="164" ht="22" customHeight="1" spans="1:11">
      <c r="A164" s="270">
        <v>2070301</v>
      </c>
      <c r="B164" s="271" t="s">
        <v>288</v>
      </c>
      <c r="C164" s="268">
        <v>42.335832</v>
      </c>
      <c r="D164" s="268">
        <v>44.708732</v>
      </c>
      <c r="E164" s="268">
        <v>0</v>
      </c>
      <c r="F164" s="273">
        <v>41.912032</v>
      </c>
      <c r="G164" s="269">
        <f>F164/D164</f>
        <v>0.93744622415147</v>
      </c>
      <c r="H164" s="273">
        <v>60.728593</v>
      </c>
      <c r="I164" s="269">
        <f t="shared" si="20"/>
        <v>-0.30984681301607</v>
      </c>
      <c r="J164" s="273">
        <v>0</v>
      </c>
      <c r="K164" s="278"/>
    </row>
    <row r="165" ht="22" customHeight="1" spans="1:11">
      <c r="A165" s="270">
        <v>2070307</v>
      </c>
      <c r="B165" s="271" t="s">
        <v>398</v>
      </c>
      <c r="C165" s="268">
        <v>0</v>
      </c>
      <c r="D165" s="268">
        <v>0</v>
      </c>
      <c r="E165" s="268">
        <v>80</v>
      </c>
      <c r="F165" s="273">
        <v>0</v>
      </c>
      <c r="G165" s="269">
        <v>0</v>
      </c>
      <c r="H165" s="273">
        <v>0</v>
      </c>
      <c r="I165" s="269">
        <v>0</v>
      </c>
      <c r="J165" s="273">
        <v>66.43589</v>
      </c>
      <c r="K165" s="278"/>
    </row>
    <row r="166" ht="22" customHeight="1" spans="1:11">
      <c r="A166" s="270">
        <v>2070308</v>
      </c>
      <c r="B166" s="271" t="s">
        <v>399</v>
      </c>
      <c r="C166" s="268">
        <v>5</v>
      </c>
      <c r="D166" s="268">
        <v>5</v>
      </c>
      <c r="E166" s="268">
        <v>0</v>
      </c>
      <c r="F166" s="273">
        <v>4.593283</v>
      </c>
      <c r="G166" s="269">
        <f t="shared" ref="G165:G175" si="21">F166/D166</f>
        <v>0.9186566</v>
      </c>
      <c r="H166" s="273">
        <v>4.95853</v>
      </c>
      <c r="I166" s="269">
        <f>(F166-H166)/H166</f>
        <v>-0.0736603388504255</v>
      </c>
      <c r="J166" s="273">
        <v>0</v>
      </c>
      <c r="K166" s="278"/>
    </row>
    <row r="167" ht="22" customHeight="1" spans="1:11">
      <c r="A167" s="270">
        <v>2070399</v>
      </c>
      <c r="B167" s="271" t="s">
        <v>400</v>
      </c>
      <c r="C167" s="268">
        <v>0</v>
      </c>
      <c r="D167" s="268">
        <v>0</v>
      </c>
      <c r="E167" s="268">
        <v>3.45</v>
      </c>
      <c r="F167" s="273">
        <v>0</v>
      </c>
      <c r="G167" s="269">
        <v>0</v>
      </c>
      <c r="H167" s="273">
        <v>0</v>
      </c>
      <c r="I167" s="269">
        <v>0</v>
      </c>
      <c r="J167" s="273">
        <v>0</v>
      </c>
      <c r="K167" s="278"/>
    </row>
    <row r="168" ht="22" customHeight="1" spans="1:11">
      <c r="A168" s="270">
        <v>20708</v>
      </c>
      <c r="B168" s="271" t="s">
        <v>401</v>
      </c>
      <c r="C168" s="268">
        <v>53.613096</v>
      </c>
      <c r="D168" s="268">
        <v>53.613096</v>
      </c>
      <c r="E168" s="268">
        <v>0</v>
      </c>
      <c r="F168" s="273">
        <v>51.613896</v>
      </c>
      <c r="G168" s="269">
        <f t="shared" si="21"/>
        <v>0.962710603394365</v>
      </c>
      <c r="H168" s="273">
        <v>41.5968</v>
      </c>
      <c r="I168" s="269">
        <f t="shared" ref="I168:I174" si="22">(F168-H168)/H168</f>
        <v>0.240814101084699</v>
      </c>
      <c r="J168" s="273">
        <v>0</v>
      </c>
      <c r="K168" s="278"/>
    </row>
    <row r="169" ht="22" customHeight="1" spans="1:11">
      <c r="A169" s="270">
        <v>2070801</v>
      </c>
      <c r="B169" s="271" t="s">
        <v>288</v>
      </c>
      <c r="C169" s="268">
        <v>31.560096</v>
      </c>
      <c r="D169" s="268">
        <v>31.560096</v>
      </c>
      <c r="E169" s="268">
        <v>0</v>
      </c>
      <c r="F169" s="273">
        <v>31.560096</v>
      </c>
      <c r="G169" s="269">
        <f t="shared" si="21"/>
        <v>1</v>
      </c>
      <c r="H169" s="273">
        <v>30.9648</v>
      </c>
      <c r="I169" s="269">
        <f t="shared" si="22"/>
        <v>0.019224926368005</v>
      </c>
      <c r="J169" s="273">
        <v>0</v>
      </c>
      <c r="K169" s="278"/>
    </row>
    <row r="170" ht="22" customHeight="1" spans="1:11">
      <c r="A170" s="270">
        <v>2070899</v>
      </c>
      <c r="B170" s="271" t="s">
        <v>402</v>
      </c>
      <c r="C170" s="268">
        <v>22.053</v>
      </c>
      <c r="D170" s="268">
        <v>22.053</v>
      </c>
      <c r="E170" s="268">
        <v>0</v>
      </c>
      <c r="F170" s="273">
        <v>20.0538</v>
      </c>
      <c r="G170" s="269">
        <f t="shared" si="21"/>
        <v>0.909345667256156</v>
      </c>
      <c r="H170" s="273">
        <v>10.632</v>
      </c>
      <c r="I170" s="269">
        <f t="shared" si="22"/>
        <v>0.88617381489842</v>
      </c>
      <c r="J170" s="273">
        <v>0</v>
      </c>
      <c r="K170" s="278"/>
    </row>
    <row r="171" ht="22" customHeight="1" spans="1:11">
      <c r="A171" s="270">
        <v>20799</v>
      </c>
      <c r="B171" s="271" t="s">
        <v>403</v>
      </c>
      <c r="C171" s="268">
        <v>130.41736</v>
      </c>
      <c r="D171" s="268">
        <v>336.824186</v>
      </c>
      <c r="E171" s="268">
        <v>137.9</v>
      </c>
      <c r="F171" s="273">
        <v>134.123595</v>
      </c>
      <c r="G171" s="269">
        <f t="shared" si="21"/>
        <v>0.398200606057428</v>
      </c>
      <c r="H171" s="273">
        <v>107.671178</v>
      </c>
      <c r="I171" s="269">
        <f t="shared" si="22"/>
        <v>0.245677789463769</v>
      </c>
      <c r="J171" s="273">
        <v>0</v>
      </c>
      <c r="K171" s="278"/>
    </row>
    <row r="172" ht="22" customHeight="1" spans="1:11">
      <c r="A172" s="270">
        <v>2079902</v>
      </c>
      <c r="B172" s="271" t="s">
        <v>404</v>
      </c>
      <c r="C172" s="268">
        <v>0</v>
      </c>
      <c r="D172" s="268">
        <v>0</v>
      </c>
      <c r="E172" s="268">
        <v>10.5</v>
      </c>
      <c r="F172" s="273">
        <v>0</v>
      </c>
      <c r="G172" s="269">
        <v>0</v>
      </c>
      <c r="H172" s="273">
        <v>0</v>
      </c>
      <c r="I172" s="269">
        <v>0</v>
      </c>
      <c r="J172" s="273">
        <v>0</v>
      </c>
      <c r="K172" s="278"/>
    </row>
    <row r="173" ht="22" customHeight="1" spans="1:11">
      <c r="A173" s="270">
        <v>2079999</v>
      </c>
      <c r="B173" s="271" t="s">
        <v>405</v>
      </c>
      <c r="C173" s="268">
        <v>130.41736</v>
      </c>
      <c r="D173" s="268">
        <v>336.824186</v>
      </c>
      <c r="E173" s="268">
        <v>127.4</v>
      </c>
      <c r="F173" s="273">
        <v>134.123595</v>
      </c>
      <c r="G173" s="269">
        <f t="shared" si="21"/>
        <v>0.398200606057428</v>
      </c>
      <c r="H173" s="273">
        <v>107.671178</v>
      </c>
      <c r="I173" s="269">
        <f t="shared" si="22"/>
        <v>0.245677789463769</v>
      </c>
      <c r="J173" s="273">
        <v>0</v>
      </c>
      <c r="K173" s="278"/>
    </row>
    <row r="174" ht="22" customHeight="1" spans="1:11">
      <c r="A174" s="270">
        <v>208</v>
      </c>
      <c r="B174" s="271" t="s">
        <v>406</v>
      </c>
      <c r="C174" s="268">
        <f>20943.921436+3</f>
        <v>20946.921436</v>
      </c>
      <c r="D174" s="268">
        <v>13418.044114</v>
      </c>
      <c r="E174" s="268">
        <v>10263.274515</v>
      </c>
      <c r="F174" s="273">
        <v>12340.299292</v>
      </c>
      <c r="G174" s="269">
        <f t="shared" si="21"/>
        <v>0.919679439652795</v>
      </c>
      <c r="H174" s="273">
        <v>21582.670392</v>
      </c>
      <c r="I174" s="269">
        <f t="shared" si="22"/>
        <v>-0.428231119325524</v>
      </c>
      <c r="J174" s="273">
        <v>9225.534521</v>
      </c>
      <c r="K174" s="278"/>
    </row>
    <row r="175" ht="22" customHeight="1" spans="1:11">
      <c r="A175" s="270">
        <v>20801</v>
      </c>
      <c r="B175" s="271" t="s">
        <v>407</v>
      </c>
      <c r="C175" s="268">
        <v>0</v>
      </c>
      <c r="D175" s="268">
        <v>0</v>
      </c>
      <c r="E175" s="268">
        <v>72.3102</v>
      </c>
      <c r="F175" s="273">
        <v>0</v>
      </c>
      <c r="G175" s="269">
        <v>0</v>
      </c>
      <c r="H175" s="273">
        <v>0</v>
      </c>
      <c r="I175" s="269">
        <v>0</v>
      </c>
      <c r="J175" s="273">
        <v>0</v>
      </c>
      <c r="K175" s="278"/>
    </row>
    <row r="176" ht="22" customHeight="1" spans="1:11">
      <c r="A176" s="270">
        <v>2080106</v>
      </c>
      <c r="B176" s="271" t="s">
        <v>408</v>
      </c>
      <c r="C176" s="268">
        <v>0</v>
      </c>
      <c r="D176" s="268">
        <v>0</v>
      </c>
      <c r="E176" s="268">
        <v>13.8102</v>
      </c>
      <c r="F176" s="273">
        <v>0</v>
      </c>
      <c r="G176" s="269">
        <v>0</v>
      </c>
      <c r="H176" s="273">
        <v>0</v>
      </c>
      <c r="I176" s="269">
        <v>0</v>
      </c>
      <c r="J176" s="273">
        <v>0</v>
      </c>
      <c r="K176" s="278"/>
    </row>
    <row r="177" ht="22" customHeight="1" spans="1:11">
      <c r="A177" s="270">
        <v>2080199</v>
      </c>
      <c r="B177" s="271" t="s">
        <v>409</v>
      </c>
      <c r="C177" s="268">
        <v>0</v>
      </c>
      <c r="D177" s="268">
        <v>0</v>
      </c>
      <c r="E177" s="268">
        <v>58.5</v>
      </c>
      <c r="F177" s="273">
        <v>0</v>
      </c>
      <c r="G177" s="269">
        <v>0</v>
      </c>
      <c r="H177" s="273">
        <v>0</v>
      </c>
      <c r="I177" s="269">
        <v>0</v>
      </c>
      <c r="J177" s="273">
        <v>0</v>
      </c>
      <c r="K177" s="278"/>
    </row>
    <row r="178" ht="22" customHeight="1" spans="1:11">
      <c r="A178" s="270">
        <v>2080905</v>
      </c>
      <c r="B178" s="271" t="s">
        <v>410</v>
      </c>
      <c r="C178" s="268">
        <v>0</v>
      </c>
      <c r="D178" s="268">
        <v>0</v>
      </c>
      <c r="E178" s="268">
        <v>0.0709</v>
      </c>
      <c r="F178" s="273">
        <v>0</v>
      </c>
      <c r="G178" s="269">
        <v>0</v>
      </c>
      <c r="H178" s="273">
        <v>0</v>
      </c>
      <c r="I178" s="269">
        <v>0</v>
      </c>
      <c r="J178" s="273">
        <v>0</v>
      </c>
      <c r="K178" s="278"/>
    </row>
    <row r="179" ht="22" customHeight="1" spans="1:11">
      <c r="A179" s="270">
        <v>20802</v>
      </c>
      <c r="B179" s="271" t="s">
        <v>411</v>
      </c>
      <c r="C179" s="268">
        <v>2708.10004</v>
      </c>
      <c r="D179" s="268">
        <v>1483.615233</v>
      </c>
      <c r="E179" s="268">
        <v>708.8039</v>
      </c>
      <c r="F179" s="273">
        <v>1072.042222</v>
      </c>
      <c r="G179" s="269">
        <f t="shared" ref="G179:G186" si="23">F179/D179</f>
        <v>0.722587769493467</v>
      </c>
      <c r="H179" s="273">
        <v>1831.756729</v>
      </c>
      <c r="I179" s="269">
        <f>(F179-H179)/H179</f>
        <v>-0.414746398892579</v>
      </c>
      <c r="J179" s="273">
        <v>334.214</v>
      </c>
      <c r="K179" s="278"/>
    </row>
    <row r="180" ht="22" customHeight="1" spans="1:11">
      <c r="A180" s="270">
        <v>2080201</v>
      </c>
      <c r="B180" s="271" t="s">
        <v>288</v>
      </c>
      <c r="C180" s="268">
        <v>594.57134</v>
      </c>
      <c r="D180" s="268">
        <v>631.151533</v>
      </c>
      <c r="E180" s="268">
        <v>0</v>
      </c>
      <c r="F180" s="273">
        <v>615.516143</v>
      </c>
      <c r="G180" s="269">
        <f t="shared" si="23"/>
        <v>0.975227201103859</v>
      </c>
      <c r="H180" s="273">
        <v>739.547827</v>
      </c>
      <c r="I180" s="269">
        <f>(F180-H180)/H180</f>
        <v>-0.167712863822667</v>
      </c>
      <c r="J180" s="273">
        <v>0</v>
      </c>
      <c r="K180" s="278"/>
    </row>
    <row r="181" ht="22" customHeight="1" spans="1:11">
      <c r="A181" s="270">
        <v>2080208</v>
      </c>
      <c r="B181" s="271" t="s">
        <v>412</v>
      </c>
      <c r="C181" s="268">
        <v>2017.1287</v>
      </c>
      <c r="D181" s="268">
        <v>756.0637</v>
      </c>
      <c r="E181" s="268">
        <v>500.3529</v>
      </c>
      <c r="F181" s="273">
        <v>395.185185</v>
      </c>
      <c r="G181" s="269">
        <f t="shared" si="23"/>
        <v>0.522687684913321</v>
      </c>
      <c r="H181" s="273">
        <v>1070.4215</v>
      </c>
      <c r="I181" s="269">
        <f t="shared" ref="I181:I187" si="24">(F181-H181)/H181</f>
        <v>-0.630813483286724</v>
      </c>
      <c r="J181" s="273">
        <v>138.352</v>
      </c>
      <c r="K181" s="278"/>
    </row>
    <row r="182" ht="22" customHeight="1" spans="1:11">
      <c r="A182" s="270">
        <v>2080299</v>
      </c>
      <c r="B182" s="271" t="s">
        <v>413</v>
      </c>
      <c r="C182" s="268">
        <v>96.4</v>
      </c>
      <c r="D182" s="268">
        <v>96.4</v>
      </c>
      <c r="E182" s="268">
        <v>208.451</v>
      </c>
      <c r="F182" s="273">
        <v>61.340894</v>
      </c>
      <c r="G182" s="269">
        <f t="shared" si="23"/>
        <v>0.63631632780083</v>
      </c>
      <c r="H182" s="273">
        <v>21.787402</v>
      </c>
      <c r="I182" s="269">
        <f t="shared" si="24"/>
        <v>1.81542948535121</v>
      </c>
      <c r="J182" s="273">
        <v>195.862</v>
      </c>
      <c r="K182" s="278"/>
    </row>
    <row r="183" ht="22" customHeight="1" spans="1:11">
      <c r="A183" s="270">
        <v>20805</v>
      </c>
      <c r="B183" s="271" t="s">
        <v>414</v>
      </c>
      <c r="C183" s="268">
        <v>11629.137896</v>
      </c>
      <c r="D183" s="268">
        <v>6506.042592</v>
      </c>
      <c r="E183" s="268">
        <v>1399</v>
      </c>
      <c r="F183" s="273">
        <v>7517.57694</v>
      </c>
      <c r="G183" s="269">
        <f t="shared" si="23"/>
        <v>1.15547613371665</v>
      </c>
      <c r="H183" s="273">
        <v>10971.12467</v>
      </c>
      <c r="I183" s="269">
        <f t="shared" si="24"/>
        <v>-0.314785205152536</v>
      </c>
      <c r="J183" s="273">
        <v>1399</v>
      </c>
      <c r="K183" s="278"/>
    </row>
    <row r="184" ht="22" customHeight="1" spans="1:11">
      <c r="A184" s="270">
        <v>2080502</v>
      </c>
      <c r="B184" s="271" t="s">
        <v>415</v>
      </c>
      <c r="C184" s="268">
        <v>15.71712</v>
      </c>
      <c r="D184" s="268">
        <v>15.71712</v>
      </c>
      <c r="E184" s="268">
        <v>0</v>
      </c>
      <c r="F184" s="273">
        <v>15.71664</v>
      </c>
      <c r="G184" s="269">
        <f t="shared" si="23"/>
        <v>0.99996946005375</v>
      </c>
      <c r="H184" s="273">
        <v>16.81689</v>
      </c>
      <c r="I184" s="269">
        <f t="shared" si="24"/>
        <v>-0.065425295640276</v>
      </c>
      <c r="J184" s="273">
        <v>0</v>
      </c>
      <c r="K184" s="278"/>
    </row>
    <row r="185" ht="22" customHeight="1" spans="1:11">
      <c r="A185" s="270">
        <v>2080505</v>
      </c>
      <c r="B185" s="271" t="s">
        <v>416</v>
      </c>
      <c r="C185" s="268">
        <v>5182.738788</v>
      </c>
      <c r="D185" s="268">
        <v>5593.82586</v>
      </c>
      <c r="E185" s="268">
        <v>0</v>
      </c>
      <c r="F185" s="273">
        <v>5872.362954</v>
      </c>
      <c r="G185" s="269">
        <f t="shared" si="23"/>
        <v>1.04979366554682</v>
      </c>
      <c r="H185" s="273">
        <v>5667.883845</v>
      </c>
      <c r="I185" s="269">
        <f t="shared" si="24"/>
        <v>0.0360767994884694</v>
      </c>
      <c r="J185" s="273">
        <v>0</v>
      </c>
      <c r="K185" s="278"/>
    </row>
    <row r="186" ht="28" customHeight="1" spans="1:11">
      <c r="A186" s="270">
        <v>2080506</v>
      </c>
      <c r="B186" s="271" t="s">
        <v>417</v>
      </c>
      <c r="C186" s="268">
        <v>422.681988</v>
      </c>
      <c r="D186" s="268">
        <v>761.152094</v>
      </c>
      <c r="E186" s="268">
        <v>0</v>
      </c>
      <c r="F186" s="273">
        <v>863.291278</v>
      </c>
      <c r="G186" s="269">
        <f t="shared" si="23"/>
        <v>1.13419024240377</v>
      </c>
      <c r="H186" s="273">
        <v>496.38866</v>
      </c>
      <c r="I186" s="269">
        <f t="shared" si="24"/>
        <v>0.739143835397046</v>
      </c>
      <c r="J186" s="273">
        <v>0</v>
      </c>
      <c r="K186" s="278"/>
    </row>
    <row r="187" ht="22" customHeight="1" spans="1:11">
      <c r="A187" s="270">
        <v>2080507</v>
      </c>
      <c r="B187" s="271" t="s">
        <v>418</v>
      </c>
      <c r="C187" s="268">
        <v>5638</v>
      </c>
      <c r="D187" s="268">
        <v>0</v>
      </c>
      <c r="E187" s="268">
        <v>1399</v>
      </c>
      <c r="F187" s="273">
        <v>636.514251</v>
      </c>
      <c r="G187" s="269">
        <v>0</v>
      </c>
      <c r="H187" s="273">
        <v>4790.035275</v>
      </c>
      <c r="I187" s="269">
        <f t="shared" si="24"/>
        <v>-0.867117001346091</v>
      </c>
      <c r="J187" s="273">
        <v>1399</v>
      </c>
      <c r="K187" s="278"/>
    </row>
    <row r="188" ht="22" customHeight="1" spans="1:11">
      <c r="A188" s="270">
        <v>2080508</v>
      </c>
      <c r="B188" s="271" t="s">
        <v>419</v>
      </c>
      <c r="C188" s="268">
        <v>370</v>
      </c>
      <c r="D188" s="268">
        <v>135.347518</v>
      </c>
      <c r="E188" s="268">
        <v>0</v>
      </c>
      <c r="F188" s="273">
        <v>129.691817</v>
      </c>
      <c r="G188" s="269">
        <f>F188/D188</f>
        <v>0.958213485673228</v>
      </c>
      <c r="H188" s="273">
        <v>0</v>
      </c>
      <c r="I188" s="269">
        <v>0</v>
      </c>
      <c r="J188" s="273">
        <v>0</v>
      </c>
      <c r="K188" s="278"/>
    </row>
    <row r="189" ht="22" customHeight="1" spans="1:11">
      <c r="A189" s="270">
        <v>20806</v>
      </c>
      <c r="B189" s="271" t="s">
        <v>420</v>
      </c>
      <c r="C189" s="268">
        <v>170.7606</v>
      </c>
      <c r="D189" s="268">
        <v>170.7606</v>
      </c>
      <c r="E189" s="268">
        <v>0</v>
      </c>
      <c r="F189" s="273">
        <v>146.312673</v>
      </c>
      <c r="G189" s="269">
        <f>F189/D189</f>
        <v>0.856829227585286</v>
      </c>
      <c r="H189" s="273">
        <v>181.51114</v>
      </c>
      <c r="I189" s="269">
        <f>(F189-H189)/H189</f>
        <v>-0.193919045409555</v>
      </c>
      <c r="J189" s="273">
        <v>0</v>
      </c>
      <c r="K189" s="278"/>
    </row>
    <row r="190" ht="22" customHeight="1" spans="1:11">
      <c r="A190" s="270">
        <v>2080601</v>
      </c>
      <c r="B190" s="271" t="s">
        <v>421</v>
      </c>
      <c r="C190" s="268">
        <v>170.7606</v>
      </c>
      <c r="D190" s="268">
        <v>170.7606</v>
      </c>
      <c r="E190" s="268">
        <v>0</v>
      </c>
      <c r="F190" s="273">
        <v>146.312673</v>
      </c>
      <c r="G190" s="269">
        <f>F190/D190</f>
        <v>0.856829227585286</v>
      </c>
      <c r="H190" s="273">
        <v>181.51114</v>
      </c>
      <c r="I190" s="269">
        <f>(F190-H190)/H190</f>
        <v>-0.193919045409555</v>
      </c>
      <c r="J190" s="273">
        <v>0</v>
      </c>
      <c r="K190" s="278"/>
    </row>
    <row r="191" ht="22" customHeight="1" spans="1:11">
      <c r="A191" s="270">
        <v>20807</v>
      </c>
      <c r="B191" s="271" t="s">
        <v>422</v>
      </c>
      <c r="C191" s="268">
        <f>462.6476+3</f>
        <v>465.6476</v>
      </c>
      <c r="D191" s="268">
        <v>464.406</v>
      </c>
      <c r="E191" s="268">
        <v>1794</v>
      </c>
      <c r="F191" s="273">
        <v>407.7918</v>
      </c>
      <c r="G191" s="269">
        <f>F191/D191</f>
        <v>0.878093306288033</v>
      </c>
      <c r="H191" s="273">
        <v>231.9462</v>
      </c>
      <c r="I191" s="269">
        <f>(F191-H191)/H191</f>
        <v>0.758130980373897</v>
      </c>
      <c r="J191" s="273">
        <v>1794</v>
      </c>
      <c r="K191" s="278"/>
    </row>
    <row r="192" ht="22" customHeight="1" spans="1:11">
      <c r="A192" s="270">
        <v>2080704</v>
      </c>
      <c r="B192" s="271" t="s">
        <v>423</v>
      </c>
      <c r="C192" s="268">
        <v>0</v>
      </c>
      <c r="D192" s="268">
        <v>0</v>
      </c>
      <c r="E192" s="268">
        <v>616</v>
      </c>
      <c r="F192" s="273">
        <v>0</v>
      </c>
      <c r="G192" s="269">
        <v>0</v>
      </c>
      <c r="H192" s="273">
        <v>0</v>
      </c>
      <c r="I192" s="269">
        <v>0</v>
      </c>
      <c r="J192" s="273">
        <v>616</v>
      </c>
      <c r="K192" s="278"/>
    </row>
    <row r="193" ht="22" customHeight="1" spans="1:11">
      <c r="A193" s="270">
        <v>2080705</v>
      </c>
      <c r="B193" s="271" t="s">
        <v>424</v>
      </c>
      <c r="C193" s="268">
        <v>462.6476</v>
      </c>
      <c r="D193" s="268">
        <v>464.406</v>
      </c>
      <c r="E193" s="268">
        <v>613</v>
      </c>
      <c r="F193" s="273">
        <v>407.7918</v>
      </c>
      <c r="G193" s="269">
        <f t="shared" ref="G192:G233" si="25">F193/D193</f>
        <v>0.878093306288033</v>
      </c>
      <c r="H193" s="273">
        <v>231.9462</v>
      </c>
      <c r="I193" s="269">
        <f>(F193-H193)/H193</f>
        <v>0.758130980373897</v>
      </c>
      <c r="J193" s="273">
        <v>613</v>
      </c>
      <c r="K193" s="278"/>
    </row>
    <row r="194" ht="22" customHeight="1" spans="1:11">
      <c r="A194" s="270">
        <v>2080799</v>
      </c>
      <c r="B194" s="271" t="s">
        <v>425</v>
      </c>
      <c r="C194" s="268">
        <v>3</v>
      </c>
      <c r="D194" s="268">
        <v>0</v>
      </c>
      <c r="E194" s="268">
        <v>565</v>
      </c>
      <c r="F194" s="273">
        <v>0</v>
      </c>
      <c r="G194" s="269">
        <v>0</v>
      </c>
      <c r="H194" s="273">
        <v>0</v>
      </c>
      <c r="I194" s="269">
        <v>0</v>
      </c>
      <c r="J194" s="273">
        <v>565</v>
      </c>
      <c r="K194" s="278"/>
    </row>
    <row r="195" ht="22" customHeight="1" spans="1:11">
      <c r="A195" s="270">
        <v>20808</v>
      </c>
      <c r="B195" s="271" t="s">
        <v>426</v>
      </c>
      <c r="C195" s="268">
        <v>444.48072</v>
      </c>
      <c r="D195" s="268">
        <v>387.60852</v>
      </c>
      <c r="E195" s="268">
        <v>1700.73885</v>
      </c>
      <c r="F195" s="273">
        <v>278.349809</v>
      </c>
      <c r="G195" s="269">
        <f t="shared" si="25"/>
        <v>0.718120976804122</v>
      </c>
      <c r="H195" s="273">
        <v>1733.99794</v>
      </c>
      <c r="I195" s="269">
        <f t="shared" ref="I195:I205" si="26">(F195-H195)/H195</f>
        <v>-0.83947512129109</v>
      </c>
      <c r="J195" s="273">
        <v>1418.59</v>
      </c>
      <c r="K195" s="278"/>
    </row>
    <row r="196" ht="22" customHeight="1" spans="1:11">
      <c r="A196" s="270">
        <v>2080801</v>
      </c>
      <c r="B196" s="271" t="s">
        <v>427</v>
      </c>
      <c r="C196" s="268">
        <v>0</v>
      </c>
      <c r="D196" s="268">
        <v>18.4652</v>
      </c>
      <c r="E196" s="268">
        <v>0</v>
      </c>
      <c r="F196" s="273">
        <v>18.133533</v>
      </c>
      <c r="G196" s="269">
        <f t="shared" si="25"/>
        <v>0.982038266577129</v>
      </c>
      <c r="H196" s="273">
        <v>79.569</v>
      </c>
      <c r="I196" s="269">
        <f t="shared" si="26"/>
        <v>-0.772103042642235</v>
      </c>
      <c r="J196" s="273">
        <v>0</v>
      </c>
      <c r="K196" s="278"/>
    </row>
    <row r="197" ht="22" customHeight="1" spans="1:11">
      <c r="A197" s="270">
        <v>2080802</v>
      </c>
      <c r="B197" s="283" t="s">
        <v>428</v>
      </c>
      <c r="C197" s="268">
        <v>12.79056</v>
      </c>
      <c r="D197" s="268">
        <v>12.79056</v>
      </c>
      <c r="E197" s="268">
        <v>255.2</v>
      </c>
      <c r="F197" s="273">
        <v>6.00925</v>
      </c>
      <c r="G197" s="269">
        <f t="shared" si="25"/>
        <v>0.469819147871555</v>
      </c>
      <c r="H197" s="273">
        <v>229.12416</v>
      </c>
      <c r="I197" s="269">
        <f t="shared" si="26"/>
        <v>-0.973772953493861</v>
      </c>
      <c r="J197" s="273">
        <v>255.2</v>
      </c>
      <c r="K197" s="278"/>
    </row>
    <row r="198" ht="22" customHeight="1" spans="1:11">
      <c r="A198" s="270">
        <v>2080803</v>
      </c>
      <c r="B198" s="271" t="s">
        <v>429</v>
      </c>
      <c r="C198" s="268">
        <v>191.15556</v>
      </c>
      <c r="D198" s="268">
        <v>191.15556</v>
      </c>
      <c r="E198" s="268">
        <v>217.4146</v>
      </c>
      <c r="F198" s="273">
        <v>98.849553</v>
      </c>
      <c r="G198" s="269">
        <f t="shared" si="25"/>
        <v>0.517115761634137</v>
      </c>
      <c r="H198" s="273">
        <v>799.27116</v>
      </c>
      <c r="I198" s="269">
        <f t="shared" si="26"/>
        <v>-0.876325384991997</v>
      </c>
      <c r="J198" s="273">
        <v>215</v>
      </c>
      <c r="K198" s="278"/>
    </row>
    <row r="199" ht="22" customHeight="1" spans="1:11">
      <c r="A199" s="270">
        <v>2080804</v>
      </c>
      <c r="B199" s="271" t="s">
        <v>430</v>
      </c>
      <c r="C199" s="268">
        <v>30.65</v>
      </c>
      <c r="D199" s="268">
        <v>34.65</v>
      </c>
      <c r="E199" s="268">
        <v>13.5</v>
      </c>
      <c r="F199" s="273">
        <v>26.315973</v>
      </c>
      <c r="G199" s="269">
        <f t="shared" si="25"/>
        <v>0.75947974025974</v>
      </c>
      <c r="H199" s="273">
        <v>140.72232</v>
      </c>
      <c r="I199" s="269">
        <f t="shared" si="26"/>
        <v>-0.812993610395281</v>
      </c>
      <c r="J199" s="273">
        <v>13.5</v>
      </c>
      <c r="K199" s="278"/>
    </row>
    <row r="200" ht="22" customHeight="1" spans="1:11">
      <c r="A200" s="270">
        <v>2080805</v>
      </c>
      <c r="B200" s="271" t="s">
        <v>431</v>
      </c>
      <c r="C200" s="268">
        <v>31.626</v>
      </c>
      <c r="D200" s="268">
        <v>31.626</v>
      </c>
      <c r="E200" s="268">
        <v>241.167</v>
      </c>
      <c r="F200" s="273">
        <v>31.626</v>
      </c>
      <c r="G200" s="269">
        <f t="shared" si="25"/>
        <v>1</v>
      </c>
      <c r="H200" s="273">
        <v>2</v>
      </c>
      <c r="I200" s="269">
        <f t="shared" si="26"/>
        <v>14.813</v>
      </c>
      <c r="J200" s="273">
        <v>0</v>
      </c>
      <c r="K200" s="278"/>
    </row>
    <row r="201" ht="22" customHeight="1" spans="1:11">
      <c r="A201" s="270">
        <v>2080806</v>
      </c>
      <c r="B201" s="271" t="s">
        <v>432</v>
      </c>
      <c r="C201" s="268">
        <v>0</v>
      </c>
      <c r="D201" s="268">
        <v>0</v>
      </c>
      <c r="E201" s="268">
        <v>410</v>
      </c>
      <c r="F201" s="273">
        <v>0</v>
      </c>
      <c r="G201" s="269">
        <v>0</v>
      </c>
      <c r="H201" s="273">
        <v>250</v>
      </c>
      <c r="I201" s="269">
        <f t="shared" si="26"/>
        <v>-1</v>
      </c>
      <c r="J201" s="273">
        <v>410</v>
      </c>
      <c r="K201" s="278"/>
    </row>
    <row r="202" ht="22" customHeight="1" spans="1:11">
      <c r="A202" s="270">
        <v>2080899</v>
      </c>
      <c r="B202" s="271" t="s">
        <v>433</v>
      </c>
      <c r="C202" s="268">
        <v>178.2586</v>
      </c>
      <c r="D202" s="268">
        <v>98.9212</v>
      </c>
      <c r="E202" s="268">
        <v>563.45725</v>
      </c>
      <c r="F202" s="273">
        <v>97.4155</v>
      </c>
      <c r="G202" s="269">
        <f t="shared" si="25"/>
        <v>0.984778793625633</v>
      </c>
      <c r="H202" s="273">
        <v>233.3113</v>
      </c>
      <c r="I202" s="269">
        <f t="shared" si="26"/>
        <v>-0.582465572820519</v>
      </c>
      <c r="J202" s="273">
        <v>524.89</v>
      </c>
      <c r="K202" s="278"/>
    </row>
    <row r="203" ht="22" customHeight="1" spans="1:11">
      <c r="A203" s="270">
        <v>20809</v>
      </c>
      <c r="B203" s="271" t="s">
        <v>434</v>
      </c>
      <c r="C203" s="268">
        <v>398.1268</v>
      </c>
      <c r="D203" s="268">
        <v>334.0128</v>
      </c>
      <c r="E203" s="268">
        <v>131.4913</v>
      </c>
      <c r="F203" s="273">
        <v>357.6968</v>
      </c>
      <c r="G203" s="269">
        <f t="shared" si="25"/>
        <v>1.07090746222899</v>
      </c>
      <c r="H203" s="273">
        <v>71.268</v>
      </c>
      <c r="I203" s="269">
        <f t="shared" si="26"/>
        <v>4.0190379974182</v>
      </c>
      <c r="J203" s="273">
        <v>118.548206</v>
      </c>
      <c r="K203" s="278"/>
    </row>
    <row r="204" ht="22" customHeight="1" spans="1:11">
      <c r="A204" s="270">
        <v>2080901</v>
      </c>
      <c r="B204" s="271" t="s">
        <v>435</v>
      </c>
      <c r="C204" s="268">
        <v>95.04</v>
      </c>
      <c r="D204" s="268">
        <v>35.678</v>
      </c>
      <c r="E204" s="268">
        <v>65.99</v>
      </c>
      <c r="F204" s="273">
        <v>59.362</v>
      </c>
      <c r="G204" s="269">
        <f t="shared" si="25"/>
        <v>1.66382644767083</v>
      </c>
      <c r="H204" s="273">
        <v>68.118</v>
      </c>
      <c r="I204" s="269">
        <f t="shared" si="26"/>
        <v>-0.128541648316157</v>
      </c>
      <c r="J204" s="273">
        <v>65.99</v>
      </c>
      <c r="K204" s="278"/>
    </row>
    <row r="205" ht="22" customHeight="1" spans="1:11">
      <c r="A205" s="270">
        <v>2080902</v>
      </c>
      <c r="B205" s="271" t="s">
        <v>436</v>
      </c>
      <c r="C205" s="268">
        <v>1.152</v>
      </c>
      <c r="D205" s="268">
        <v>0</v>
      </c>
      <c r="E205" s="268">
        <v>65.4304</v>
      </c>
      <c r="F205" s="273">
        <v>0</v>
      </c>
      <c r="G205" s="269">
        <v>0</v>
      </c>
      <c r="H205" s="273">
        <v>3.15</v>
      </c>
      <c r="I205" s="269">
        <f t="shared" si="26"/>
        <v>-1</v>
      </c>
      <c r="J205" s="273">
        <v>52.558206</v>
      </c>
      <c r="K205" s="278"/>
    </row>
    <row r="206" ht="22" customHeight="1" spans="1:11">
      <c r="A206" s="270">
        <v>2080999</v>
      </c>
      <c r="B206" s="271" t="s">
        <v>437</v>
      </c>
      <c r="C206" s="268">
        <v>301.9348</v>
      </c>
      <c r="D206" s="268">
        <v>298.3348</v>
      </c>
      <c r="E206" s="268">
        <v>0</v>
      </c>
      <c r="F206" s="273">
        <v>298.3348</v>
      </c>
      <c r="G206" s="269">
        <f t="shared" si="25"/>
        <v>1</v>
      </c>
      <c r="H206" s="273">
        <v>0</v>
      </c>
      <c r="I206" s="269">
        <v>0</v>
      </c>
      <c r="J206" s="273">
        <v>0</v>
      </c>
      <c r="K206" s="278"/>
    </row>
    <row r="207" ht="22" customHeight="1" spans="1:11">
      <c r="A207" s="270">
        <v>20810</v>
      </c>
      <c r="B207" s="271" t="s">
        <v>438</v>
      </c>
      <c r="C207" s="268">
        <v>627.3116</v>
      </c>
      <c r="D207" s="268">
        <v>518.3116</v>
      </c>
      <c r="E207" s="268">
        <v>504.917</v>
      </c>
      <c r="F207" s="273">
        <v>451.955032</v>
      </c>
      <c r="G207" s="269">
        <f t="shared" si="25"/>
        <v>0.87197552977784</v>
      </c>
      <c r="H207" s="273">
        <v>522.4846</v>
      </c>
      <c r="I207" s="269">
        <f t="shared" ref="I207:I218" si="27">(F207-H207)/H207</f>
        <v>-0.134988797755953</v>
      </c>
      <c r="J207" s="273">
        <v>479.105</v>
      </c>
      <c r="K207" s="278"/>
    </row>
    <row r="208" ht="22" customHeight="1" spans="1:11">
      <c r="A208" s="270">
        <v>2081001</v>
      </c>
      <c r="B208" s="271" t="s">
        <v>439</v>
      </c>
      <c r="C208" s="268">
        <v>172.9876</v>
      </c>
      <c r="D208" s="268">
        <v>63.9876</v>
      </c>
      <c r="E208" s="268">
        <v>229</v>
      </c>
      <c r="F208" s="273">
        <v>63.8454</v>
      </c>
      <c r="G208" s="269">
        <f t="shared" si="25"/>
        <v>0.997777694428295</v>
      </c>
      <c r="H208" s="273">
        <v>145.0758</v>
      </c>
      <c r="I208" s="269">
        <f t="shared" si="27"/>
        <v>-0.559916953757966</v>
      </c>
      <c r="J208" s="273">
        <v>229</v>
      </c>
      <c r="K208" s="278"/>
    </row>
    <row r="209" ht="22" customHeight="1" spans="1:11">
      <c r="A209" s="270">
        <v>2081002</v>
      </c>
      <c r="B209" s="271" t="s">
        <v>440</v>
      </c>
      <c r="C209" s="268">
        <v>247.976</v>
      </c>
      <c r="D209" s="268">
        <v>247.976</v>
      </c>
      <c r="E209" s="268">
        <v>1.05</v>
      </c>
      <c r="F209" s="273">
        <v>220.394632</v>
      </c>
      <c r="G209" s="269">
        <f t="shared" si="25"/>
        <v>0.888774042649289</v>
      </c>
      <c r="H209" s="273">
        <v>173.45</v>
      </c>
      <c r="I209" s="269">
        <f t="shared" si="27"/>
        <v>0.270652245603921</v>
      </c>
      <c r="J209" s="273">
        <v>0.94</v>
      </c>
      <c r="K209" s="278"/>
    </row>
    <row r="210" ht="22" customHeight="1" spans="1:11">
      <c r="A210" s="270">
        <v>2081004</v>
      </c>
      <c r="B210" s="271" t="s">
        <v>441</v>
      </c>
      <c r="C210" s="268">
        <v>124.2</v>
      </c>
      <c r="D210" s="268">
        <v>124.2</v>
      </c>
      <c r="E210" s="268">
        <v>0</v>
      </c>
      <c r="F210" s="273">
        <v>118.47</v>
      </c>
      <c r="G210" s="269">
        <f t="shared" si="25"/>
        <v>0.953864734299517</v>
      </c>
      <c r="H210" s="273">
        <v>111.9202</v>
      </c>
      <c r="I210" s="269">
        <f t="shared" si="27"/>
        <v>0.058522054106408</v>
      </c>
      <c r="J210" s="273">
        <v>0</v>
      </c>
      <c r="K210" s="278"/>
    </row>
    <row r="211" ht="22" customHeight="1" spans="1:11">
      <c r="A211" s="274">
        <v>2081006</v>
      </c>
      <c r="B211" s="271" t="s">
        <v>442</v>
      </c>
      <c r="C211" s="268">
        <v>41.58</v>
      </c>
      <c r="D211" s="268">
        <v>41.58</v>
      </c>
      <c r="E211" s="268">
        <v>258.064</v>
      </c>
      <c r="F211" s="273">
        <v>23.38</v>
      </c>
      <c r="G211" s="269">
        <f t="shared" si="25"/>
        <v>0.562289562289562</v>
      </c>
      <c r="H211" s="273">
        <v>37.98</v>
      </c>
      <c r="I211" s="269">
        <f t="shared" si="27"/>
        <v>-0.384412848867825</v>
      </c>
      <c r="J211" s="273">
        <v>232.362</v>
      </c>
      <c r="K211" s="278"/>
    </row>
    <row r="212" ht="22" customHeight="1" spans="1:11">
      <c r="A212" s="270">
        <v>2081099</v>
      </c>
      <c r="B212" s="271" t="s">
        <v>443</v>
      </c>
      <c r="C212" s="268">
        <v>40.568</v>
      </c>
      <c r="D212" s="268">
        <v>40.568</v>
      </c>
      <c r="E212" s="268">
        <v>16.803</v>
      </c>
      <c r="F212" s="273">
        <v>25.865</v>
      </c>
      <c r="G212" s="269">
        <f t="shared" si="25"/>
        <v>0.637571484914218</v>
      </c>
      <c r="H212" s="273">
        <v>54.0586</v>
      </c>
      <c r="I212" s="269">
        <f t="shared" si="27"/>
        <v>-0.521537738676177</v>
      </c>
      <c r="J212" s="273">
        <v>16.803</v>
      </c>
      <c r="K212" s="278"/>
    </row>
    <row r="213" ht="22" customHeight="1" spans="1:11">
      <c r="A213" s="270">
        <v>20811</v>
      </c>
      <c r="B213" s="271" t="s">
        <v>444</v>
      </c>
      <c r="C213" s="268">
        <v>349.176016</v>
      </c>
      <c r="D213" s="268">
        <v>347.623168</v>
      </c>
      <c r="E213" s="268">
        <v>340.9955</v>
      </c>
      <c r="F213" s="273">
        <v>310.800627</v>
      </c>
      <c r="G213" s="269">
        <f t="shared" si="25"/>
        <v>0.894073397892743</v>
      </c>
      <c r="H213" s="273">
        <v>346.899455</v>
      </c>
      <c r="I213" s="269">
        <f t="shared" si="27"/>
        <v>-0.104061356913922</v>
      </c>
      <c r="J213" s="273">
        <v>319.664048</v>
      </c>
      <c r="K213" s="278"/>
    </row>
    <row r="214" ht="22" customHeight="1" spans="1:11">
      <c r="A214" s="270">
        <v>2081101</v>
      </c>
      <c r="B214" s="271" t="s">
        <v>288</v>
      </c>
      <c r="C214" s="268">
        <v>158.366524</v>
      </c>
      <c r="D214" s="268">
        <v>146.624176</v>
      </c>
      <c r="E214" s="268">
        <v>0</v>
      </c>
      <c r="F214" s="273">
        <v>144.052584</v>
      </c>
      <c r="G214" s="269">
        <f t="shared" si="25"/>
        <v>0.982461337071725</v>
      </c>
      <c r="H214" s="273">
        <v>186.178125</v>
      </c>
      <c r="I214" s="269">
        <f t="shared" si="27"/>
        <v>-0.226264718263759</v>
      </c>
      <c r="J214" s="273">
        <v>0</v>
      </c>
      <c r="K214" s="278"/>
    </row>
    <row r="215" ht="22" customHeight="1" spans="1:11">
      <c r="A215" s="270">
        <v>2081104</v>
      </c>
      <c r="B215" s="271" t="s">
        <v>445</v>
      </c>
      <c r="C215" s="268">
        <v>79.79</v>
      </c>
      <c r="D215" s="268">
        <v>79.79</v>
      </c>
      <c r="E215" s="268">
        <v>107.86</v>
      </c>
      <c r="F215" s="273">
        <v>77.33</v>
      </c>
      <c r="G215" s="269">
        <f t="shared" si="25"/>
        <v>0.969169068805615</v>
      </c>
      <c r="H215" s="273">
        <v>36.7837</v>
      </c>
      <c r="I215" s="269">
        <f t="shared" si="27"/>
        <v>1.10228987296003</v>
      </c>
      <c r="J215" s="273">
        <v>103.334548</v>
      </c>
      <c r="K215" s="278"/>
    </row>
    <row r="216" ht="22" customHeight="1" spans="1:11">
      <c r="A216" s="270">
        <v>2081105</v>
      </c>
      <c r="B216" s="271" t="s">
        <v>446</v>
      </c>
      <c r="C216" s="268">
        <v>52.772692</v>
      </c>
      <c r="D216" s="268">
        <v>52.772692</v>
      </c>
      <c r="E216" s="268">
        <v>79.1</v>
      </c>
      <c r="F216" s="273">
        <v>36.65738</v>
      </c>
      <c r="G216" s="269">
        <f t="shared" si="25"/>
        <v>0.694627820009637</v>
      </c>
      <c r="H216" s="273">
        <v>54.47266</v>
      </c>
      <c r="I216" s="269">
        <f t="shared" si="27"/>
        <v>-0.327049936610402</v>
      </c>
      <c r="J216" s="273">
        <v>64.85</v>
      </c>
      <c r="K216" s="278"/>
    </row>
    <row r="217" ht="22" customHeight="1" spans="1:11">
      <c r="A217" s="270">
        <v>2081107</v>
      </c>
      <c r="B217" s="271" t="s">
        <v>447</v>
      </c>
      <c r="C217" s="268">
        <v>54.2268</v>
      </c>
      <c r="D217" s="268">
        <v>49.2268</v>
      </c>
      <c r="E217" s="268">
        <v>110.76</v>
      </c>
      <c r="F217" s="273">
        <v>42.546</v>
      </c>
      <c r="G217" s="269">
        <f t="shared" si="25"/>
        <v>0.864285308002958</v>
      </c>
      <c r="H217" s="273">
        <v>46.9106</v>
      </c>
      <c r="I217" s="269">
        <f t="shared" si="27"/>
        <v>-0.0930408052764195</v>
      </c>
      <c r="J217" s="273">
        <v>108.204</v>
      </c>
      <c r="K217" s="278"/>
    </row>
    <row r="218" ht="22" customHeight="1" spans="1:11">
      <c r="A218" s="270">
        <v>2081199</v>
      </c>
      <c r="B218" s="271" t="s">
        <v>448</v>
      </c>
      <c r="C218" s="268">
        <v>4.02</v>
      </c>
      <c r="D218" s="268">
        <v>19.2095</v>
      </c>
      <c r="E218" s="268">
        <v>43.2755</v>
      </c>
      <c r="F218" s="273">
        <v>10.214663</v>
      </c>
      <c r="G218" s="269">
        <f t="shared" si="25"/>
        <v>0.531750592154923</v>
      </c>
      <c r="H218" s="273">
        <v>22.55437</v>
      </c>
      <c r="I218" s="269">
        <f t="shared" si="27"/>
        <v>-0.547109362841879</v>
      </c>
      <c r="J218" s="273">
        <v>43.2755</v>
      </c>
      <c r="K218" s="278"/>
    </row>
    <row r="219" ht="22" customHeight="1" spans="1:11">
      <c r="A219" s="270">
        <v>20819</v>
      </c>
      <c r="B219" s="271" t="s">
        <v>449</v>
      </c>
      <c r="C219" s="268">
        <v>2234.4476</v>
      </c>
      <c r="D219" s="268">
        <v>634.4476</v>
      </c>
      <c r="E219" s="268">
        <v>2493</v>
      </c>
      <c r="F219" s="273">
        <v>535.7929</v>
      </c>
      <c r="G219" s="269">
        <f t="shared" si="25"/>
        <v>0.844502997568278</v>
      </c>
      <c r="H219" s="273">
        <v>2789.488488</v>
      </c>
      <c r="I219" s="269">
        <f t="shared" ref="I219:I239" si="28">(F219-H219)/H219</f>
        <v>-0.807924319349261</v>
      </c>
      <c r="J219" s="273">
        <v>2320.4645</v>
      </c>
      <c r="K219" s="278"/>
    </row>
    <row r="220" ht="22" customHeight="1" spans="1:11">
      <c r="A220" s="270">
        <v>2081901</v>
      </c>
      <c r="B220" s="271" t="s">
        <v>450</v>
      </c>
      <c r="C220" s="268">
        <v>273.1754</v>
      </c>
      <c r="D220" s="268">
        <v>33.1754</v>
      </c>
      <c r="E220" s="268">
        <v>360</v>
      </c>
      <c r="F220" s="273">
        <v>29.2794</v>
      </c>
      <c r="G220" s="269">
        <f t="shared" si="25"/>
        <v>0.882563586271755</v>
      </c>
      <c r="H220" s="273">
        <v>476.765888</v>
      </c>
      <c r="I220" s="269">
        <f t="shared" si="28"/>
        <v>-0.938587468741052</v>
      </c>
      <c r="J220" s="273">
        <v>360</v>
      </c>
      <c r="K220" s="278"/>
    </row>
    <row r="221" ht="22" customHeight="1" spans="1:11">
      <c r="A221" s="270">
        <v>2081902</v>
      </c>
      <c r="B221" s="271" t="s">
        <v>451</v>
      </c>
      <c r="C221" s="268">
        <v>1961.2722</v>
      </c>
      <c r="D221" s="268">
        <v>601.2722</v>
      </c>
      <c r="E221" s="268">
        <v>2133</v>
      </c>
      <c r="F221" s="273">
        <v>506.5135</v>
      </c>
      <c r="G221" s="269">
        <f t="shared" si="25"/>
        <v>0.842402991523639</v>
      </c>
      <c r="H221" s="273">
        <v>2312.7226</v>
      </c>
      <c r="I221" s="269">
        <f t="shared" si="28"/>
        <v>-0.780988217090973</v>
      </c>
      <c r="J221" s="273">
        <v>1960.4645</v>
      </c>
      <c r="K221" s="278"/>
    </row>
    <row r="222" ht="22" customHeight="1" spans="1:11">
      <c r="A222" s="270">
        <v>20820</v>
      </c>
      <c r="B222" s="283" t="s">
        <v>452</v>
      </c>
      <c r="C222" s="268">
        <v>35</v>
      </c>
      <c r="D222" s="268">
        <v>29</v>
      </c>
      <c r="E222" s="268">
        <v>189.780121</v>
      </c>
      <c r="F222" s="273">
        <v>0.188597</v>
      </c>
      <c r="G222" s="269">
        <f t="shared" si="25"/>
        <v>0.00650334482758621</v>
      </c>
      <c r="H222" s="273">
        <v>149.166682</v>
      </c>
      <c r="I222" s="269">
        <f t="shared" si="28"/>
        <v>-0.998735662699798</v>
      </c>
      <c r="J222" s="273">
        <v>180.140803</v>
      </c>
      <c r="K222" s="278"/>
    </row>
    <row r="223" ht="22" customHeight="1" spans="1:11">
      <c r="A223" s="270">
        <v>2082001</v>
      </c>
      <c r="B223" s="283" t="s">
        <v>453</v>
      </c>
      <c r="C223" s="268">
        <v>30</v>
      </c>
      <c r="D223" s="268">
        <v>24</v>
      </c>
      <c r="E223" s="268">
        <v>187</v>
      </c>
      <c r="F223" s="273">
        <v>0</v>
      </c>
      <c r="G223" s="269">
        <f t="shared" si="25"/>
        <v>0</v>
      </c>
      <c r="H223" s="273">
        <v>147.5</v>
      </c>
      <c r="I223" s="269">
        <f t="shared" si="28"/>
        <v>-1</v>
      </c>
      <c r="J223" s="273">
        <v>177.360682</v>
      </c>
      <c r="K223" s="278"/>
    </row>
    <row r="224" ht="22" customHeight="1" spans="1:11">
      <c r="A224" s="270">
        <v>2082002</v>
      </c>
      <c r="B224" s="271" t="s">
        <v>454</v>
      </c>
      <c r="C224" s="268">
        <v>5</v>
      </c>
      <c r="D224" s="268">
        <v>5</v>
      </c>
      <c r="E224" s="268">
        <v>2.780121</v>
      </c>
      <c r="F224" s="273">
        <v>0.188597</v>
      </c>
      <c r="G224" s="269">
        <f t="shared" si="25"/>
        <v>0.0377194</v>
      </c>
      <c r="H224" s="273">
        <v>1.666682</v>
      </c>
      <c r="I224" s="269">
        <f t="shared" si="28"/>
        <v>-0.886842841045862</v>
      </c>
      <c r="J224" s="273">
        <v>2.780121</v>
      </c>
      <c r="K224" s="278"/>
    </row>
    <row r="225" ht="22" customHeight="1" spans="1:11">
      <c r="A225" s="270">
        <v>20821</v>
      </c>
      <c r="B225" s="271" t="s">
        <v>455</v>
      </c>
      <c r="C225" s="268">
        <v>1565.5772</v>
      </c>
      <c r="D225" s="268">
        <v>579.5772</v>
      </c>
      <c r="E225" s="268">
        <v>810.139879</v>
      </c>
      <c r="F225" s="273">
        <v>482.905711</v>
      </c>
      <c r="G225" s="269">
        <f t="shared" si="25"/>
        <v>0.833203430017606</v>
      </c>
      <c r="H225" s="273">
        <v>920.191</v>
      </c>
      <c r="I225" s="269">
        <f t="shared" si="28"/>
        <v>-0.47521143871218</v>
      </c>
      <c r="J225" s="273">
        <v>810.139879</v>
      </c>
      <c r="K225" s="278"/>
    </row>
    <row r="226" ht="22" customHeight="1" spans="1:11">
      <c r="A226" s="270">
        <v>2082101</v>
      </c>
      <c r="B226" s="271" t="s">
        <v>456</v>
      </c>
      <c r="C226" s="268">
        <v>74.8474</v>
      </c>
      <c r="D226" s="268">
        <v>18.8474</v>
      </c>
      <c r="E226" s="268">
        <v>45</v>
      </c>
      <c r="F226" s="273">
        <v>18.7596</v>
      </c>
      <c r="G226" s="269">
        <f t="shared" si="25"/>
        <v>0.995341532519074</v>
      </c>
      <c r="H226" s="273">
        <v>47.1418</v>
      </c>
      <c r="I226" s="269">
        <f t="shared" si="28"/>
        <v>-0.602060167409815</v>
      </c>
      <c r="J226" s="273">
        <v>45</v>
      </c>
      <c r="K226" s="278"/>
    </row>
    <row r="227" ht="22" customHeight="1" spans="1:11">
      <c r="A227" s="270">
        <v>2082102</v>
      </c>
      <c r="B227" s="271" t="s">
        <v>457</v>
      </c>
      <c r="C227" s="268">
        <v>1490.7298</v>
      </c>
      <c r="D227" s="268">
        <v>560.7298</v>
      </c>
      <c r="E227" s="268">
        <v>765.139879</v>
      </c>
      <c r="F227" s="273">
        <v>464.146111</v>
      </c>
      <c r="G227" s="269">
        <f t="shared" si="25"/>
        <v>0.827753600753875</v>
      </c>
      <c r="H227" s="273">
        <v>873.0492</v>
      </c>
      <c r="I227" s="269">
        <f t="shared" si="28"/>
        <v>-0.46836202243814</v>
      </c>
      <c r="J227" s="273">
        <v>765.139879</v>
      </c>
      <c r="K227" s="278"/>
    </row>
    <row r="228" ht="22" customHeight="1" spans="1:11">
      <c r="A228" s="270">
        <v>20825</v>
      </c>
      <c r="B228" s="271" t="s">
        <v>458</v>
      </c>
      <c r="C228" s="268">
        <v>23.39568</v>
      </c>
      <c r="D228" s="268">
        <v>18.39568</v>
      </c>
      <c r="E228" s="268">
        <v>39.8892</v>
      </c>
      <c r="F228" s="273">
        <v>12.83998</v>
      </c>
      <c r="G228" s="269">
        <f t="shared" si="25"/>
        <v>0.697988875649066</v>
      </c>
      <c r="H228" s="273">
        <v>8.35868</v>
      </c>
      <c r="I228" s="269">
        <f t="shared" si="28"/>
        <v>0.536125321222968</v>
      </c>
      <c r="J228" s="273">
        <v>33.6146</v>
      </c>
      <c r="K228" s="278"/>
    </row>
    <row r="229" ht="22" customHeight="1" spans="1:11">
      <c r="A229" s="270">
        <v>2082501</v>
      </c>
      <c r="B229" s="271" t="s">
        <v>459</v>
      </c>
      <c r="C229" s="268">
        <v>0</v>
      </c>
      <c r="D229" s="268">
        <v>0</v>
      </c>
      <c r="E229" s="268">
        <v>7.6792</v>
      </c>
      <c r="F229" s="273">
        <v>0</v>
      </c>
      <c r="G229" s="269">
        <v>0</v>
      </c>
      <c r="H229" s="273">
        <v>0</v>
      </c>
      <c r="I229" s="269">
        <v>0</v>
      </c>
      <c r="J229" s="273">
        <v>3.8505</v>
      </c>
      <c r="K229" s="278"/>
    </row>
    <row r="230" ht="22" customHeight="1" spans="1:11">
      <c r="A230" s="270">
        <v>2082502</v>
      </c>
      <c r="B230" s="271" t="s">
        <v>460</v>
      </c>
      <c r="C230" s="272">
        <v>23.39568</v>
      </c>
      <c r="D230" s="272">
        <v>18.39568</v>
      </c>
      <c r="E230" s="272">
        <v>32.21</v>
      </c>
      <c r="F230" s="273">
        <v>12.83998</v>
      </c>
      <c r="G230" s="269">
        <f t="shared" ref="G230:G235" si="29">F230/D230</f>
        <v>0.697988875649066</v>
      </c>
      <c r="H230" s="273">
        <v>8.35868</v>
      </c>
      <c r="I230" s="269">
        <f t="shared" si="28"/>
        <v>0.536125321222968</v>
      </c>
      <c r="J230" s="273">
        <v>29.7641</v>
      </c>
      <c r="K230" s="278"/>
    </row>
    <row r="231" ht="22" customHeight="1" spans="1:11">
      <c r="A231" s="270">
        <v>20826</v>
      </c>
      <c r="B231" s="271" t="s">
        <v>461</v>
      </c>
      <c r="C231" s="268">
        <v>0</v>
      </c>
      <c r="D231" s="268">
        <v>1662</v>
      </c>
      <c r="E231" s="268">
        <v>0</v>
      </c>
      <c r="F231" s="273">
        <v>425</v>
      </c>
      <c r="G231" s="269">
        <f t="shared" si="29"/>
        <v>0.255716004813478</v>
      </c>
      <c r="H231" s="273">
        <v>1515.783319</v>
      </c>
      <c r="I231" s="269">
        <f t="shared" si="28"/>
        <v>-0.719616917093148</v>
      </c>
      <c r="J231" s="273">
        <v>0</v>
      </c>
      <c r="K231" s="278"/>
    </row>
    <row r="232" ht="22" customHeight="1" spans="1:11">
      <c r="A232" s="270">
        <v>2082602</v>
      </c>
      <c r="B232" s="271" t="s">
        <v>462</v>
      </c>
      <c r="C232" s="268">
        <v>0</v>
      </c>
      <c r="D232" s="268">
        <v>1662</v>
      </c>
      <c r="E232" s="268">
        <v>0</v>
      </c>
      <c r="F232" s="273">
        <v>425</v>
      </c>
      <c r="G232" s="269">
        <f t="shared" si="29"/>
        <v>0.255716004813478</v>
      </c>
      <c r="H232" s="273">
        <v>1515.783319</v>
      </c>
      <c r="I232" s="269">
        <f t="shared" si="28"/>
        <v>-0.719616917093148</v>
      </c>
      <c r="J232" s="273">
        <v>0</v>
      </c>
      <c r="K232" s="278"/>
    </row>
    <row r="233" ht="22" customHeight="1" spans="1:11">
      <c r="A233" s="270">
        <v>20828</v>
      </c>
      <c r="B233" s="271" t="s">
        <v>144</v>
      </c>
      <c r="C233" s="268">
        <v>268.291684</v>
      </c>
      <c r="D233" s="268">
        <v>280.598656</v>
      </c>
      <c r="E233" s="268">
        <v>0</v>
      </c>
      <c r="F233" s="273">
        <v>339.749736</v>
      </c>
      <c r="G233" s="269">
        <f t="shared" si="29"/>
        <v>1.21080314796661</v>
      </c>
      <c r="H233" s="273">
        <v>295.469416</v>
      </c>
      <c r="I233" s="269">
        <f t="shared" si="28"/>
        <v>0.149864309475604</v>
      </c>
      <c r="J233" s="273">
        <v>0</v>
      </c>
      <c r="K233" s="278"/>
    </row>
    <row r="234" ht="22" customHeight="1" spans="1:11">
      <c r="A234" s="270">
        <v>2082801</v>
      </c>
      <c r="B234" s="283" t="s">
        <v>288</v>
      </c>
      <c r="C234" s="268">
        <v>201.156384</v>
      </c>
      <c r="D234" s="268">
        <v>224.468356</v>
      </c>
      <c r="E234" s="268">
        <v>0</v>
      </c>
      <c r="F234" s="273">
        <v>214.518896</v>
      </c>
      <c r="G234" s="269">
        <f t="shared" si="29"/>
        <v>0.95567544496116</v>
      </c>
      <c r="H234" s="273">
        <v>199.755747</v>
      </c>
      <c r="I234" s="269">
        <f t="shared" si="28"/>
        <v>0.07390600381575</v>
      </c>
      <c r="J234" s="273">
        <v>0</v>
      </c>
      <c r="K234" s="278"/>
    </row>
    <row r="235" ht="22" customHeight="1" spans="1:11">
      <c r="A235" s="270">
        <v>2082804</v>
      </c>
      <c r="B235" s="271" t="s">
        <v>463</v>
      </c>
      <c r="C235" s="268">
        <v>67.1353</v>
      </c>
      <c r="D235" s="268">
        <v>56.1303</v>
      </c>
      <c r="E235" s="268">
        <v>0</v>
      </c>
      <c r="F235" s="273">
        <v>45.23084</v>
      </c>
      <c r="G235" s="269">
        <f t="shared" si="29"/>
        <v>0.805818604211985</v>
      </c>
      <c r="H235" s="273">
        <v>95.713669</v>
      </c>
      <c r="I235" s="269">
        <f t="shared" si="28"/>
        <v>-0.527435940210379</v>
      </c>
      <c r="J235" s="273">
        <v>0</v>
      </c>
      <c r="K235" s="278"/>
    </row>
    <row r="236" ht="22" customHeight="1" spans="1:11">
      <c r="A236" s="270">
        <v>2082899</v>
      </c>
      <c r="B236" s="271" t="s">
        <v>464</v>
      </c>
      <c r="C236" s="268">
        <v>0</v>
      </c>
      <c r="D236" s="268">
        <v>0</v>
      </c>
      <c r="E236" s="268">
        <v>0</v>
      </c>
      <c r="F236" s="273">
        <v>80</v>
      </c>
      <c r="G236" s="269">
        <v>0</v>
      </c>
      <c r="H236" s="273">
        <v>0</v>
      </c>
      <c r="I236" s="269">
        <v>0</v>
      </c>
      <c r="J236" s="273">
        <v>0</v>
      </c>
      <c r="K236" s="278"/>
    </row>
    <row r="237" ht="22" customHeight="1" spans="1:11">
      <c r="A237" s="270">
        <v>20899</v>
      </c>
      <c r="B237" s="271" t="s">
        <v>465</v>
      </c>
      <c r="C237" s="268">
        <v>27.468</v>
      </c>
      <c r="D237" s="268">
        <v>1.644465</v>
      </c>
      <c r="E237" s="268">
        <v>78.208565</v>
      </c>
      <c r="F237" s="273">
        <v>1.296465</v>
      </c>
      <c r="G237" s="269">
        <f>F237/D237</f>
        <v>0.788381023615583</v>
      </c>
      <c r="H237" s="273">
        <v>13.224073</v>
      </c>
      <c r="I237" s="269">
        <f>(F237-H237)/H237</f>
        <v>-0.901961748093798</v>
      </c>
      <c r="J237" s="273">
        <v>18.053485</v>
      </c>
      <c r="K237" s="278"/>
    </row>
    <row r="238" ht="22" customHeight="1" spans="1:11">
      <c r="A238" s="270">
        <v>2089901</v>
      </c>
      <c r="B238" s="271" t="s">
        <v>466</v>
      </c>
      <c r="C238" s="268">
        <v>0</v>
      </c>
      <c r="D238" s="268">
        <v>0</v>
      </c>
      <c r="E238" s="268">
        <v>0</v>
      </c>
      <c r="F238" s="273">
        <v>0</v>
      </c>
      <c r="G238" s="269">
        <v>0</v>
      </c>
      <c r="H238" s="273">
        <v>13.224073</v>
      </c>
      <c r="I238" s="269">
        <f>(F238-H238)/H238</f>
        <v>-1</v>
      </c>
      <c r="J238" s="273">
        <v>0</v>
      </c>
      <c r="K238" s="278"/>
    </row>
    <row r="239" ht="22" customHeight="1" spans="1:11">
      <c r="A239" s="270">
        <v>2089999</v>
      </c>
      <c r="B239" s="271" t="s">
        <v>467</v>
      </c>
      <c r="C239" s="268">
        <v>27.468</v>
      </c>
      <c r="D239" s="268">
        <v>1.644465</v>
      </c>
      <c r="E239" s="268">
        <v>78.208565</v>
      </c>
      <c r="F239" s="273">
        <v>1.296465</v>
      </c>
      <c r="G239" s="269">
        <f t="shared" ref="G239:G254" si="30">F239/D239</f>
        <v>0.788381023615583</v>
      </c>
      <c r="H239" s="273">
        <v>0</v>
      </c>
      <c r="I239" s="269">
        <v>0</v>
      </c>
      <c r="J239" s="273">
        <v>18.053485</v>
      </c>
      <c r="K239" s="278"/>
    </row>
    <row r="240" ht="22" customHeight="1" spans="1:11">
      <c r="A240" s="270">
        <v>210</v>
      </c>
      <c r="B240" s="271" t="s">
        <v>468</v>
      </c>
      <c r="C240" s="268">
        <v>15026.222361</v>
      </c>
      <c r="D240" s="268">
        <v>15826.589542</v>
      </c>
      <c r="E240" s="268">
        <v>4964.06774</v>
      </c>
      <c r="F240" s="273">
        <v>14191.168475</v>
      </c>
      <c r="G240" s="269">
        <f t="shared" si="30"/>
        <v>0.896666236104754</v>
      </c>
      <c r="H240" s="273">
        <v>17648.291193</v>
      </c>
      <c r="I240" s="269">
        <f t="shared" ref="I240:I254" si="31">(F240-H240)/H240</f>
        <v>-0.195889940855647</v>
      </c>
      <c r="J240" s="273">
        <v>4107.73022</v>
      </c>
      <c r="K240" s="278"/>
    </row>
    <row r="241" ht="29" customHeight="1" spans="1:11">
      <c r="A241" s="270">
        <v>21001</v>
      </c>
      <c r="B241" s="271" t="s">
        <v>469</v>
      </c>
      <c r="C241" s="268">
        <v>2036.659244</v>
      </c>
      <c r="D241" s="268">
        <v>2307.909384</v>
      </c>
      <c r="E241" s="268">
        <v>0</v>
      </c>
      <c r="F241" s="273">
        <v>1877.595499</v>
      </c>
      <c r="G241" s="269">
        <f t="shared" si="30"/>
        <v>0.813548188683997</v>
      </c>
      <c r="H241" s="273">
        <v>3061.182054</v>
      </c>
      <c r="I241" s="269">
        <f t="shared" si="31"/>
        <v>-0.386643634426585</v>
      </c>
      <c r="J241" s="273">
        <v>0</v>
      </c>
      <c r="K241" s="278"/>
    </row>
    <row r="242" ht="37" customHeight="1" spans="1:11">
      <c r="A242" s="270">
        <v>2100101</v>
      </c>
      <c r="B242" s="271" t="s">
        <v>288</v>
      </c>
      <c r="C242" s="268">
        <v>1886.659244</v>
      </c>
      <c r="D242" s="268">
        <v>2153.930884</v>
      </c>
      <c r="E242" s="268">
        <v>0</v>
      </c>
      <c r="F242" s="273">
        <v>1741.949499</v>
      </c>
      <c r="G242" s="269">
        <f t="shared" si="30"/>
        <v>0.808730452745577</v>
      </c>
      <c r="H242" s="273">
        <v>3058.594054</v>
      </c>
      <c r="I242" s="269">
        <f t="shared" si="31"/>
        <v>-0.430473783625553</v>
      </c>
      <c r="J242" s="273">
        <v>0</v>
      </c>
      <c r="K242" s="278"/>
    </row>
    <row r="243" ht="22" customHeight="1" spans="1:11">
      <c r="A243" s="270">
        <v>2100199</v>
      </c>
      <c r="B243" s="271" t="s">
        <v>470</v>
      </c>
      <c r="C243" s="268">
        <v>150</v>
      </c>
      <c r="D243" s="268">
        <v>153.9785</v>
      </c>
      <c r="E243" s="268">
        <v>0</v>
      </c>
      <c r="F243" s="273">
        <v>135.646</v>
      </c>
      <c r="G243" s="269">
        <f t="shared" si="30"/>
        <v>0.880941170358199</v>
      </c>
      <c r="H243" s="273">
        <v>2.588</v>
      </c>
      <c r="I243" s="269">
        <f t="shared" si="31"/>
        <v>51.4134466769706</v>
      </c>
      <c r="J243" s="273">
        <v>0</v>
      </c>
      <c r="K243" s="278"/>
    </row>
    <row r="244" ht="22" customHeight="1" spans="1:11">
      <c r="A244" s="270">
        <v>21002</v>
      </c>
      <c r="B244" s="271" t="s">
        <v>471</v>
      </c>
      <c r="C244" s="268">
        <v>1724.725429</v>
      </c>
      <c r="D244" s="268">
        <v>1888.851825</v>
      </c>
      <c r="E244" s="268">
        <v>238</v>
      </c>
      <c r="F244" s="273">
        <v>2082.095985</v>
      </c>
      <c r="G244" s="269">
        <f t="shared" si="30"/>
        <v>1.10230773925318</v>
      </c>
      <c r="H244" s="273">
        <v>1866.588547</v>
      </c>
      <c r="I244" s="269">
        <f t="shared" si="31"/>
        <v>0.115455244995672</v>
      </c>
      <c r="J244" s="273">
        <v>238</v>
      </c>
      <c r="K244" s="278"/>
    </row>
    <row r="245" ht="22" customHeight="1" spans="1:11">
      <c r="A245" s="270">
        <v>2100201</v>
      </c>
      <c r="B245" s="271" t="s">
        <v>472</v>
      </c>
      <c r="C245" s="268">
        <v>1703.857904</v>
      </c>
      <c r="D245" s="268">
        <v>1767.9843</v>
      </c>
      <c r="E245" s="268">
        <v>0</v>
      </c>
      <c r="F245" s="273">
        <v>1981.98666</v>
      </c>
      <c r="G245" s="269">
        <f t="shared" si="30"/>
        <v>1.12104313369751</v>
      </c>
      <c r="H245" s="273">
        <v>1728.282622</v>
      </c>
      <c r="I245" s="269">
        <f t="shared" si="31"/>
        <v>0.146795457392501</v>
      </c>
      <c r="J245" s="273">
        <v>0</v>
      </c>
      <c r="K245" s="278"/>
    </row>
    <row r="246" ht="22" customHeight="1" spans="1:11">
      <c r="A246" s="270">
        <v>2100299</v>
      </c>
      <c r="B246" s="271" t="s">
        <v>473</v>
      </c>
      <c r="C246" s="268">
        <v>20.867525</v>
      </c>
      <c r="D246" s="268">
        <v>120.867525</v>
      </c>
      <c r="E246" s="268">
        <v>238</v>
      </c>
      <c r="F246" s="273">
        <v>100.109325</v>
      </c>
      <c r="G246" s="269">
        <f t="shared" si="30"/>
        <v>0.828256597460732</v>
      </c>
      <c r="H246" s="273">
        <v>138.305925</v>
      </c>
      <c r="I246" s="269">
        <f t="shared" si="31"/>
        <v>-0.27617471919587</v>
      </c>
      <c r="J246" s="273">
        <v>238</v>
      </c>
      <c r="K246" s="278"/>
    </row>
    <row r="247" ht="22" customHeight="1" spans="1:11">
      <c r="A247" s="270">
        <v>21003</v>
      </c>
      <c r="B247" s="271" t="s">
        <v>474</v>
      </c>
      <c r="C247" s="268">
        <v>3587.929648</v>
      </c>
      <c r="D247" s="268">
        <v>3757.227502</v>
      </c>
      <c r="E247" s="268">
        <v>687.2</v>
      </c>
      <c r="F247" s="273">
        <v>3740.754853</v>
      </c>
      <c r="G247" s="269">
        <f t="shared" si="30"/>
        <v>0.995615743525982</v>
      </c>
      <c r="H247" s="273">
        <v>3458.620974</v>
      </c>
      <c r="I247" s="269">
        <f t="shared" si="31"/>
        <v>0.0815740958957129</v>
      </c>
      <c r="J247" s="273">
        <v>619.0959</v>
      </c>
      <c r="K247" s="278"/>
    </row>
    <row r="248" ht="22" customHeight="1" spans="1:11">
      <c r="A248" s="270">
        <v>2100302</v>
      </c>
      <c r="B248" s="271" t="s">
        <v>475</v>
      </c>
      <c r="C248" s="268">
        <v>3364.881648</v>
      </c>
      <c r="D248" s="268">
        <v>3452.398302</v>
      </c>
      <c r="E248" s="268">
        <v>0</v>
      </c>
      <c r="F248" s="273">
        <v>3465.600975</v>
      </c>
      <c r="G248" s="269">
        <f t="shared" si="30"/>
        <v>1.00382420330596</v>
      </c>
      <c r="H248" s="273">
        <v>3324.394974</v>
      </c>
      <c r="I248" s="269">
        <f t="shared" si="31"/>
        <v>0.0424756992187656</v>
      </c>
      <c r="J248" s="273">
        <v>0</v>
      </c>
      <c r="K248" s="278"/>
    </row>
    <row r="249" ht="22" customHeight="1" spans="1:11">
      <c r="A249" s="270">
        <v>2100399</v>
      </c>
      <c r="B249" s="271" t="s">
        <v>476</v>
      </c>
      <c r="C249" s="268">
        <v>223.048</v>
      </c>
      <c r="D249" s="268">
        <v>304.8292</v>
      </c>
      <c r="E249" s="268">
        <v>687.2</v>
      </c>
      <c r="F249" s="273">
        <v>275.153878</v>
      </c>
      <c r="G249" s="269">
        <f t="shared" si="30"/>
        <v>0.902649345928802</v>
      </c>
      <c r="H249" s="273">
        <v>134.226</v>
      </c>
      <c r="I249" s="269">
        <f t="shared" si="31"/>
        <v>1.04992980495582</v>
      </c>
      <c r="J249" s="273">
        <v>619.0959</v>
      </c>
      <c r="K249" s="278"/>
    </row>
    <row r="250" ht="22" customHeight="1" spans="1:11">
      <c r="A250" s="270">
        <v>21004</v>
      </c>
      <c r="B250" s="283" t="s">
        <v>477</v>
      </c>
      <c r="C250" s="268">
        <v>2436.276524</v>
      </c>
      <c r="D250" s="268">
        <v>2494.370237</v>
      </c>
      <c r="E250" s="268">
        <v>2642.962848</v>
      </c>
      <c r="F250" s="273">
        <v>1431.556973</v>
      </c>
      <c r="G250" s="269">
        <f t="shared" si="30"/>
        <v>0.573915191804784</v>
      </c>
      <c r="H250" s="273">
        <v>3614.299687</v>
      </c>
      <c r="I250" s="269">
        <f t="shared" si="31"/>
        <v>-0.603918574281746</v>
      </c>
      <c r="J250" s="273">
        <v>2409.400358</v>
      </c>
      <c r="K250" s="278"/>
    </row>
    <row r="251" ht="22" customHeight="1" spans="1:11">
      <c r="A251" s="270">
        <v>2100401</v>
      </c>
      <c r="B251" s="271" t="s">
        <v>478</v>
      </c>
      <c r="C251" s="268">
        <v>1213.581496</v>
      </c>
      <c r="D251" s="268">
        <v>1325.002549</v>
      </c>
      <c r="E251" s="268">
        <v>0</v>
      </c>
      <c r="F251" s="273">
        <v>468.850068</v>
      </c>
      <c r="G251" s="269">
        <f t="shared" si="30"/>
        <v>0.353848427200271</v>
      </c>
      <c r="H251" s="273">
        <v>1093.590132</v>
      </c>
      <c r="I251" s="269">
        <f t="shared" si="31"/>
        <v>-0.57127441599848</v>
      </c>
      <c r="J251" s="273">
        <v>0</v>
      </c>
      <c r="K251" s="278"/>
    </row>
    <row r="252" ht="22" customHeight="1" spans="1:11">
      <c r="A252" s="270">
        <v>2100402</v>
      </c>
      <c r="B252" s="271" t="s">
        <v>479</v>
      </c>
      <c r="C252" s="268">
        <v>262.144496</v>
      </c>
      <c r="D252" s="268">
        <v>220.910196</v>
      </c>
      <c r="E252" s="268">
        <v>0</v>
      </c>
      <c r="F252" s="273">
        <v>213.539936</v>
      </c>
      <c r="G252" s="269">
        <f t="shared" si="30"/>
        <v>0.9666368500257</v>
      </c>
      <c r="H252" s="273">
        <v>204.102398</v>
      </c>
      <c r="I252" s="269">
        <f t="shared" si="31"/>
        <v>0.0462392313489625</v>
      </c>
      <c r="J252" s="273">
        <v>0</v>
      </c>
      <c r="K252" s="278"/>
    </row>
    <row r="253" ht="22" customHeight="1" spans="1:11">
      <c r="A253" s="270">
        <v>2100403</v>
      </c>
      <c r="B253" s="271" t="s">
        <v>480</v>
      </c>
      <c r="C253" s="268">
        <v>771.660532</v>
      </c>
      <c r="D253" s="268">
        <v>753.562692</v>
      </c>
      <c r="E253" s="268">
        <v>0</v>
      </c>
      <c r="F253" s="273">
        <v>555.374259</v>
      </c>
      <c r="G253" s="269">
        <f t="shared" si="30"/>
        <v>0.736998082436916</v>
      </c>
      <c r="H253" s="273">
        <v>660.83163</v>
      </c>
      <c r="I253" s="269">
        <f t="shared" si="31"/>
        <v>-0.159582813855323</v>
      </c>
      <c r="J253" s="273">
        <v>0</v>
      </c>
      <c r="K253" s="278"/>
    </row>
    <row r="254" ht="22" customHeight="1" spans="1:11">
      <c r="A254" s="270">
        <v>2100408</v>
      </c>
      <c r="B254" s="271" t="s">
        <v>481</v>
      </c>
      <c r="C254" s="268">
        <v>88.89</v>
      </c>
      <c r="D254" s="268">
        <v>94.8948</v>
      </c>
      <c r="E254" s="268">
        <v>2303.082848</v>
      </c>
      <c r="F254" s="273">
        <v>94.8943</v>
      </c>
      <c r="G254" s="269">
        <f t="shared" si="30"/>
        <v>0.999994731007389</v>
      </c>
      <c r="H254" s="273">
        <v>321.0537</v>
      </c>
      <c r="I254" s="269">
        <f t="shared" si="31"/>
        <v>-0.704428573786877</v>
      </c>
      <c r="J254" s="273">
        <v>2153.070952</v>
      </c>
      <c r="K254" s="278"/>
    </row>
    <row r="255" ht="22" customHeight="1" spans="1:11">
      <c r="A255" s="270">
        <v>2100409</v>
      </c>
      <c r="B255" s="271" t="s">
        <v>482</v>
      </c>
      <c r="C255" s="268">
        <v>0</v>
      </c>
      <c r="D255" s="268">
        <v>0</v>
      </c>
      <c r="E255" s="268">
        <v>339.88</v>
      </c>
      <c r="F255" s="273">
        <v>0</v>
      </c>
      <c r="G255" s="269">
        <v>0</v>
      </c>
      <c r="H255" s="273">
        <v>0</v>
      </c>
      <c r="I255" s="269">
        <v>0</v>
      </c>
      <c r="J255" s="273">
        <v>256.329406</v>
      </c>
      <c r="K255" s="278"/>
    </row>
    <row r="256" ht="22" customHeight="1" spans="1:11">
      <c r="A256" s="270">
        <v>2100410</v>
      </c>
      <c r="B256" s="271" t="s">
        <v>483</v>
      </c>
      <c r="C256" s="268">
        <v>100</v>
      </c>
      <c r="D256" s="268">
        <v>100</v>
      </c>
      <c r="E256" s="268">
        <v>0</v>
      </c>
      <c r="F256" s="273">
        <v>98.89841</v>
      </c>
      <c r="G256" s="269">
        <f>F256/D256</f>
        <v>0.9889841</v>
      </c>
      <c r="H256" s="273">
        <v>1334.721827</v>
      </c>
      <c r="I256" s="269">
        <f>(F256-H256)/H256</f>
        <v>-0.925903354542205</v>
      </c>
      <c r="J256" s="273">
        <v>0</v>
      </c>
      <c r="K256" s="278"/>
    </row>
    <row r="257" ht="22" customHeight="1" spans="1:11">
      <c r="A257" s="270">
        <v>21006</v>
      </c>
      <c r="B257" s="271" t="s">
        <v>484</v>
      </c>
      <c r="C257" s="268">
        <v>0</v>
      </c>
      <c r="D257" s="268">
        <v>0</v>
      </c>
      <c r="E257" s="268">
        <v>1</v>
      </c>
      <c r="F257" s="273">
        <v>0</v>
      </c>
      <c r="G257" s="269">
        <v>0</v>
      </c>
      <c r="H257" s="273">
        <v>0</v>
      </c>
      <c r="I257" s="269">
        <v>0</v>
      </c>
      <c r="J257" s="273">
        <v>1</v>
      </c>
      <c r="K257" s="278"/>
    </row>
    <row r="258" ht="22" customHeight="1" spans="1:11">
      <c r="A258" s="270">
        <v>2100601</v>
      </c>
      <c r="B258" s="271" t="s">
        <v>485</v>
      </c>
      <c r="C258" s="268">
        <v>0</v>
      </c>
      <c r="D258" s="268">
        <v>0</v>
      </c>
      <c r="E258" s="268">
        <v>1</v>
      </c>
      <c r="F258" s="273">
        <v>0</v>
      </c>
      <c r="G258" s="269">
        <v>0</v>
      </c>
      <c r="H258" s="273">
        <v>0</v>
      </c>
      <c r="I258" s="269">
        <v>0</v>
      </c>
      <c r="J258" s="273">
        <v>1</v>
      </c>
      <c r="K258" s="278"/>
    </row>
    <row r="259" ht="22" customHeight="1" spans="1:11">
      <c r="A259" s="270">
        <v>21007</v>
      </c>
      <c r="B259" s="271" t="s">
        <v>486</v>
      </c>
      <c r="C259" s="268">
        <v>1152.6347</v>
      </c>
      <c r="D259" s="268">
        <v>901.1307</v>
      </c>
      <c r="E259" s="268">
        <v>651.538</v>
      </c>
      <c r="F259" s="273">
        <v>733.884859</v>
      </c>
      <c r="G259" s="269">
        <f t="shared" ref="G259:G265" si="32">F259/D259</f>
        <v>0.814404457644157</v>
      </c>
      <c r="H259" s="273">
        <v>887.272893</v>
      </c>
      <c r="I259" s="269">
        <f t="shared" ref="I259:I267" si="33">(F259-H259)/H259</f>
        <v>-0.172875825701575</v>
      </c>
      <c r="J259" s="273">
        <v>196</v>
      </c>
      <c r="K259" s="278"/>
    </row>
    <row r="260" ht="22" customHeight="1" spans="1:11">
      <c r="A260" s="270">
        <v>2100717</v>
      </c>
      <c r="B260" s="271" t="s">
        <v>487</v>
      </c>
      <c r="C260" s="268">
        <v>1152.6347</v>
      </c>
      <c r="D260" s="268">
        <v>901.1307</v>
      </c>
      <c r="E260" s="268">
        <v>651.538</v>
      </c>
      <c r="F260" s="273">
        <v>733.884859</v>
      </c>
      <c r="G260" s="269">
        <f t="shared" si="32"/>
        <v>0.814404457644157</v>
      </c>
      <c r="H260" s="273">
        <v>887.272893</v>
      </c>
      <c r="I260" s="269">
        <f t="shared" si="33"/>
        <v>-0.172875825701575</v>
      </c>
      <c r="J260" s="273">
        <v>196</v>
      </c>
      <c r="K260" s="278"/>
    </row>
    <row r="261" ht="22" customHeight="1" spans="1:11">
      <c r="A261" s="270">
        <v>21011</v>
      </c>
      <c r="B261" s="271" t="s">
        <v>488</v>
      </c>
      <c r="C261" s="268">
        <v>3118.7806</v>
      </c>
      <c r="D261" s="268">
        <v>3478.752986</v>
      </c>
      <c r="E261" s="268">
        <v>0</v>
      </c>
      <c r="F261" s="273">
        <v>3418.33879</v>
      </c>
      <c r="G261" s="269">
        <f t="shared" si="32"/>
        <v>0.982633375740349</v>
      </c>
      <c r="H261" s="273">
        <v>2955.998988</v>
      </c>
      <c r="I261" s="269">
        <f t="shared" si="33"/>
        <v>0.156407293736191</v>
      </c>
      <c r="J261" s="273">
        <v>0</v>
      </c>
      <c r="K261" s="278"/>
    </row>
    <row r="262" ht="22" customHeight="1" spans="1:11">
      <c r="A262" s="270">
        <v>2101101</v>
      </c>
      <c r="B262" s="271" t="s">
        <v>489</v>
      </c>
      <c r="C262" s="268">
        <v>870.858292</v>
      </c>
      <c r="D262" s="268">
        <v>971.206253</v>
      </c>
      <c r="E262" s="268">
        <v>0</v>
      </c>
      <c r="F262" s="273">
        <v>920.26545</v>
      </c>
      <c r="G262" s="269">
        <f t="shared" si="32"/>
        <v>0.94754893428389</v>
      </c>
      <c r="H262" s="273">
        <v>706.714805</v>
      </c>
      <c r="I262" s="269">
        <f t="shared" si="33"/>
        <v>0.30217372480261</v>
      </c>
      <c r="J262" s="273">
        <v>0</v>
      </c>
      <c r="K262" s="278"/>
    </row>
    <row r="263" ht="22" customHeight="1" spans="1:11">
      <c r="A263" s="270">
        <v>2101102</v>
      </c>
      <c r="B263" s="271" t="s">
        <v>490</v>
      </c>
      <c r="C263" s="268">
        <v>2247.922308</v>
      </c>
      <c r="D263" s="268">
        <v>2507.546733</v>
      </c>
      <c r="E263" s="268">
        <v>0</v>
      </c>
      <c r="F263" s="273">
        <v>2498.07334</v>
      </c>
      <c r="G263" s="269">
        <f t="shared" si="32"/>
        <v>0.996222047280185</v>
      </c>
      <c r="H263" s="273">
        <v>2249.284183</v>
      </c>
      <c r="I263" s="269">
        <f t="shared" si="33"/>
        <v>0.110608147641075</v>
      </c>
      <c r="J263" s="273">
        <v>0</v>
      </c>
      <c r="K263" s="278"/>
    </row>
    <row r="264" ht="22" customHeight="1" spans="1:11">
      <c r="A264" s="270">
        <v>21012</v>
      </c>
      <c r="B264" s="271" t="s">
        <v>491</v>
      </c>
      <c r="C264" s="268">
        <v>704.111184</v>
      </c>
      <c r="D264" s="268">
        <v>704.111184</v>
      </c>
      <c r="E264" s="268">
        <v>0</v>
      </c>
      <c r="F264" s="273">
        <v>673.388436</v>
      </c>
      <c r="G264" s="269">
        <f t="shared" si="32"/>
        <v>0.956366624052942</v>
      </c>
      <c r="H264" s="273">
        <v>637.69398</v>
      </c>
      <c r="I264" s="269">
        <f t="shared" si="33"/>
        <v>0.0559742715463614</v>
      </c>
      <c r="J264" s="273">
        <v>0</v>
      </c>
      <c r="K264" s="278"/>
    </row>
    <row r="265" ht="22" customHeight="1" spans="1:11">
      <c r="A265" s="270">
        <v>2101202</v>
      </c>
      <c r="B265" s="271" t="s">
        <v>492</v>
      </c>
      <c r="C265" s="268">
        <v>704.111184</v>
      </c>
      <c r="D265" s="268">
        <v>704.111184</v>
      </c>
      <c r="E265" s="268">
        <v>0</v>
      </c>
      <c r="F265" s="273">
        <v>673.388436</v>
      </c>
      <c r="G265" s="269">
        <f t="shared" si="32"/>
        <v>0.956366624052942</v>
      </c>
      <c r="H265" s="273">
        <v>637.69398</v>
      </c>
      <c r="I265" s="269">
        <f t="shared" si="33"/>
        <v>0.0559742715463614</v>
      </c>
      <c r="J265" s="273">
        <v>0</v>
      </c>
      <c r="K265" s="278"/>
    </row>
    <row r="266" ht="22" customHeight="1" spans="1:11">
      <c r="A266" s="270">
        <v>21013</v>
      </c>
      <c r="B266" s="271" t="s">
        <v>493</v>
      </c>
      <c r="C266" s="268">
        <v>0</v>
      </c>
      <c r="D266" s="268">
        <v>0</v>
      </c>
      <c r="E266" s="268">
        <v>586.030892</v>
      </c>
      <c r="F266" s="273">
        <v>0</v>
      </c>
      <c r="G266" s="269">
        <v>0</v>
      </c>
      <c r="H266" s="273">
        <v>985.372</v>
      </c>
      <c r="I266" s="269">
        <f t="shared" si="33"/>
        <v>-1</v>
      </c>
      <c r="J266" s="273">
        <v>546.578279</v>
      </c>
      <c r="K266" s="278"/>
    </row>
    <row r="267" ht="22" customHeight="1" spans="1:11">
      <c r="A267" s="270">
        <v>2101301</v>
      </c>
      <c r="B267" s="283" t="s">
        <v>494</v>
      </c>
      <c r="C267" s="268">
        <v>0</v>
      </c>
      <c r="D267" s="268">
        <v>0</v>
      </c>
      <c r="E267" s="268">
        <v>586.030892</v>
      </c>
      <c r="F267" s="273">
        <v>0</v>
      </c>
      <c r="G267" s="269">
        <v>0</v>
      </c>
      <c r="H267" s="273">
        <v>985.372</v>
      </c>
      <c r="I267" s="269">
        <f t="shared" si="33"/>
        <v>-1</v>
      </c>
      <c r="J267" s="273">
        <v>546.578279</v>
      </c>
      <c r="K267" s="278"/>
    </row>
    <row r="268" ht="22" customHeight="1" spans="1:11">
      <c r="A268" s="270">
        <v>21014</v>
      </c>
      <c r="B268" s="271" t="s">
        <v>495</v>
      </c>
      <c r="C268" s="268">
        <v>61.454</v>
      </c>
      <c r="D268" s="268">
        <v>61.454</v>
      </c>
      <c r="E268" s="268">
        <v>112.28</v>
      </c>
      <c r="F268" s="273">
        <v>11.122</v>
      </c>
      <c r="G268" s="269">
        <f>F268/D268</f>
        <v>0.180980896280144</v>
      </c>
      <c r="H268" s="273">
        <v>0</v>
      </c>
      <c r="I268" s="269">
        <v>0</v>
      </c>
      <c r="J268" s="273">
        <v>52.599683</v>
      </c>
      <c r="K268" s="278"/>
    </row>
    <row r="269" ht="22" customHeight="1" spans="1:11">
      <c r="A269" s="270">
        <v>2101401</v>
      </c>
      <c r="B269" s="271" t="s">
        <v>496</v>
      </c>
      <c r="C269" s="268">
        <v>61.454</v>
      </c>
      <c r="D269" s="268">
        <v>61.454</v>
      </c>
      <c r="E269" s="268">
        <v>112.28</v>
      </c>
      <c r="F269" s="273">
        <v>11.122</v>
      </c>
      <c r="G269" s="269">
        <f>F269/D269</f>
        <v>0.180980896280144</v>
      </c>
      <c r="H269" s="273">
        <v>0</v>
      </c>
      <c r="I269" s="269">
        <v>0</v>
      </c>
      <c r="J269" s="273">
        <v>52.599683</v>
      </c>
      <c r="K269" s="278"/>
    </row>
    <row r="270" ht="22" customHeight="1" spans="1:11">
      <c r="A270" s="270">
        <v>21015</v>
      </c>
      <c r="B270" s="271" t="s">
        <v>497</v>
      </c>
      <c r="C270" s="268">
        <v>203.651032</v>
      </c>
      <c r="D270" s="268">
        <v>232.781724</v>
      </c>
      <c r="E270" s="268">
        <v>6</v>
      </c>
      <c r="F270" s="273">
        <v>222.43108</v>
      </c>
      <c r="G270" s="269">
        <f>F270/D270</f>
        <v>0.955534980057111</v>
      </c>
      <c r="H270" s="273">
        <v>181.26207</v>
      </c>
      <c r="I270" s="269">
        <f>(F270-H270)/H270</f>
        <v>0.227124240609191</v>
      </c>
      <c r="J270" s="273">
        <v>6</v>
      </c>
      <c r="K270" s="278"/>
    </row>
    <row r="271" ht="22" customHeight="1" spans="1:11">
      <c r="A271" s="270">
        <v>2101501</v>
      </c>
      <c r="B271" s="271" t="s">
        <v>498</v>
      </c>
      <c r="C271" s="268">
        <v>181.243032</v>
      </c>
      <c r="D271" s="268">
        <v>210.373724</v>
      </c>
      <c r="E271" s="268">
        <v>0</v>
      </c>
      <c r="F271" s="273">
        <v>209.530571</v>
      </c>
      <c r="G271" s="269">
        <f>F271/D271</f>
        <v>0.995992118293252</v>
      </c>
      <c r="H271" s="273">
        <v>176.2692</v>
      </c>
      <c r="I271" s="269">
        <f>(F271-H271)/H271</f>
        <v>0.188696442713758</v>
      </c>
      <c r="J271" s="273">
        <v>0</v>
      </c>
      <c r="K271" s="278"/>
    </row>
    <row r="272" ht="22" customHeight="1" spans="1:11">
      <c r="A272" s="274">
        <v>2101506</v>
      </c>
      <c r="B272" s="271" t="s">
        <v>499</v>
      </c>
      <c r="C272" s="268">
        <v>22.408</v>
      </c>
      <c r="D272" s="268">
        <v>22.408</v>
      </c>
      <c r="E272" s="268">
        <v>0</v>
      </c>
      <c r="F272" s="273">
        <v>12.900509</v>
      </c>
      <c r="G272" s="269">
        <f>F272/D272</f>
        <v>0.575709969653695</v>
      </c>
      <c r="H272" s="273">
        <v>4.99287</v>
      </c>
      <c r="I272" s="269">
        <f>(F272-H272)/H272</f>
        <v>1.58378627923419</v>
      </c>
      <c r="J272" s="273">
        <v>0</v>
      </c>
      <c r="K272" s="278"/>
    </row>
    <row r="273" ht="22" customHeight="1" spans="1:11">
      <c r="A273" s="270">
        <v>2101599</v>
      </c>
      <c r="B273" s="271" t="s">
        <v>500</v>
      </c>
      <c r="C273" s="268">
        <v>0</v>
      </c>
      <c r="D273" s="268">
        <v>0</v>
      </c>
      <c r="E273" s="268">
        <v>6</v>
      </c>
      <c r="F273" s="273">
        <v>0</v>
      </c>
      <c r="G273" s="269">
        <v>0</v>
      </c>
      <c r="H273" s="273">
        <v>0</v>
      </c>
      <c r="I273" s="269">
        <v>0</v>
      </c>
      <c r="J273" s="273">
        <v>6</v>
      </c>
      <c r="K273" s="278"/>
    </row>
    <row r="274" ht="22" customHeight="1" spans="1:11">
      <c r="A274" s="270">
        <v>21099</v>
      </c>
      <c r="B274" s="271" t="s">
        <v>501</v>
      </c>
      <c r="C274" s="268">
        <v>0</v>
      </c>
      <c r="D274" s="268">
        <v>0</v>
      </c>
      <c r="E274" s="268">
        <v>39.056</v>
      </c>
      <c r="F274" s="273">
        <v>0</v>
      </c>
      <c r="G274" s="269">
        <v>0</v>
      </c>
      <c r="H274" s="273">
        <v>0</v>
      </c>
      <c r="I274" s="269">
        <v>0</v>
      </c>
      <c r="J274" s="273">
        <v>39.056</v>
      </c>
      <c r="K274" s="278"/>
    </row>
    <row r="275" ht="22" customHeight="1" spans="1:11">
      <c r="A275" s="270">
        <v>2109999</v>
      </c>
      <c r="B275" s="271" t="s">
        <v>502</v>
      </c>
      <c r="C275" s="268">
        <v>0</v>
      </c>
      <c r="D275" s="268">
        <v>0</v>
      </c>
      <c r="E275" s="268">
        <v>39.056</v>
      </c>
      <c r="F275" s="273">
        <v>0</v>
      </c>
      <c r="G275" s="269">
        <v>0</v>
      </c>
      <c r="H275" s="273">
        <v>0</v>
      </c>
      <c r="I275" s="269">
        <v>0</v>
      </c>
      <c r="J275" s="273">
        <v>39.056</v>
      </c>
      <c r="K275" s="278"/>
    </row>
    <row r="276" ht="22" customHeight="1" spans="1:11">
      <c r="A276" s="270">
        <v>211</v>
      </c>
      <c r="B276" s="271" t="s">
        <v>503</v>
      </c>
      <c r="C276" s="268">
        <v>428.39</v>
      </c>
      <c r="D276" s="268">
        <v>149.1623</v>
      </c>
      <c r="E276" s="268">
        <v>4412.38</v>
      </c>
      <c r="F276" s="273">
        <v>41.05538</v>
      </c>
      <c r="G276" s="269">
        <f>F276/D276</f>
        <v>0.275239655060293</v>
      </c>
      <c r="H276" s="273">
        <v>2503.731378</v>
      </c>
      <c r="I276" s="269">
        <f>(F276-H276)/H276</f>
        <v>-0.983602322373419</v>
      </c>
      <c r="J276" s="273">
        <v>1819.57012</v>
      </c>
      <c r="K276" s="278"/>
    </row>
    <row r="277" ht="22" customHeight="1" spans="1:11">
      <c r="A277" s="270">
        <v>21101</v>
      </c>
      <c r="B277" s="271" t="s">
        <v>504</v>
      </c>
      <c r="C277" s="268">
        <v>4</v>
      </c>
      <c r="D277" s="268">
        <v>33.5123</v>
      </c>
      <c r="E277" s="268">
        <v>285</v>
      </c>
      <c r="F277" s="273">
        <v>33.5123</v>
      </c>
      <c r="G277" s="269">
        <f>F277/D277</f>
        <v>1</v>
      </c>
      <c r="H277" s="273">
        <v>625.43861</v>
      </c>
      <c r="I277" s="269">
        <f>(F277-H277)/H277</f>
        <v>-0.946417922615938</v>
      </c>
      <c r="J277" s="273">
        <v>0</v>
      </c>
      <c r="K277" s="278"/>
    </row>
    <row r="278" ht="22" customHeight="1" spans="1:11">
      <c r="A278" s="270">
        <v>2110101</v>
      </c>
      <c r="B278" s="271" t="s">
        <v>288</v>
      </c>
      <c r="C278" s="268">
        <v>4</v>
      </c>
      <c r="D278" s="268">
        <v>33.1123</v>
      </c>
      <c r="E278" s="268">
        <v>0</v>
      </c>
      <c r="F278" s="273">
        <v>33.1123</v>
      </c>
      <c r="G278" s="269">
        <f>F278/D278</f>
        <v>1</v>
      </c>
      <c r="H278" s="273">
        <v>560.03611</v>
      </c>
      <c r="I278" s="269">
        <f>(F278-H278)/H278</f>
        <v>-0.940874705382837</v>
      </c>
      <c r="J278" s="273">
        <v>0</v>
      </c>
      <c r="K278" s="278"/>
    </row>
    <row r="279" ht="22" customHeight="1" spans="1:11">
      <c r="A279" s="270">
        <v>2110104</v>
      </c>
      <c r="B279" s="271" t="s">
        <v>505</v>
      </c>
      <c r="C279" s="268">
        <v>0</v>
      </c>
      <c r="D279" s="268">
        <v>0.4</v>
      </c>
      <c r="E279" s="268">
        <v>0</v>
      </c>
      <c r="F279" s="273">
        <v>0.4</v>
      </c>
      <c r="G279" s="269">
        <f>F279/D279</f>
        <v>1</v>
      </c>
      <c r="H279" s="273">
        <v>0</v>
      </c>
      <c r="I279" s="269">
        <v>0</v>
      </c>
      <c r="J279" s="273">
        <v>0</v>
      </c>
      <c r="K279" s="278"/>
    </row>
    <row r="280" ht="22" customHeight="1" spans="1:11">
      <c r="A280" s="270">
        <v>2110105</v>
      </c>
      <c r="B280" s="271" t="s">
        <v>506</v>
      </c>
      <c r="C280" s="268">
        <v>0</v>
      </c>
      <c r="D280" s="268">
        <v>0</v>
      </c>
      <c r="E280" s="268">
        <v>0</v>
      </c>
      <c r="F280" s="273">
        <v>0</v>
      </c>
      <c r="G280" s="269">
        <v>0</v>
      </c>
      <c r="H280" s="273">
        <v>65.4025</v>
      </c>
      <c r="I280" s="269">
        <f>(F280-H280)/H280</f>
        <v>-1</v>
      </c>
      <c r="J280" s="273">
        <v>0</v>
      </c>
      <c r="K280" s="278"/>
    </row>
    <row r="281" ht="22" customHeight="1" spans="1:11">
      <c r="A281" s="270">
        <v>2110199</v>
      </c>
      <c r="B281" s="271" t="s">
        <v>507</v>
      </c>
      <c r="C281" s="268">
        <v>0</v>
      </c>
      <c r="D281" s="268">
        <v>0</v>
      </c>
      <c r="E281" s="268">
        <v>285</v>
      </c>
      <c r="F281" s="273">
        <v>0</v>
      </c>
      <c r="G281" s="269">
        <v>0</v>
      </c>
      <c r="H281" s="273">
        <v>0</v>
      </c>
      <c r="I281" s="269">
        <v>0</v>
      </c>
      <c r="J281" s="273">
        <v>0</v>
      </c>
      <c r="K281" s="278"/>
    </row>
    <row r="282" ht="22" customHeight="1" spans="1:11">
      <c r="A282" s="270">
        <v>21103</v>
      </c>
      <c r="B282" s="271" t="s">
        <v>508</v>
      </c>
      <c r="C282" s="268">
        <v>0</v>
      </c>
      <c r="D282" s="268">
        <v>6.66</v>
      </c>
      <c r="E282" s="268">
        <v>628.06</v>
      </c>
      <c r="F282" s="273">
        <v>6.66</v>
      </c>
      <c r="G282" s="269">
        <f>F282/D282</f>
        <v>1</v>
      </c>
      <c r="H282" s="273">
        <v>0</v>
      </c>
      <c r="I282" s="269">
        <v>0</v>
      </c>
      <c r="J282" s="273">
        <v>43.08</v>
      </c>
      <c r="K282" s="278"/>
    </row>
    <row r="283" ht="22" customHeight="1" spans="1:11">
      <c r="A283" s="270">
        <v>2110302</v>
      </c>
      <c r="B283" s="271" t="s">
        <v>509</v>
      </c>
      <c r="C283" s="268">
        <v>0</v>
      </c>
      <c r="D283" s="268">
        <v>0</v>
      </c>
      <c r="E283" s="268">
        <v>560</v>
      </c>
      <c r="F283" s="273">
        <v>0</v>
      </c>
      <c r="G283" s="269">
        <v>0</v>
      </c>
      <c r="H283" s="273">
        <v>0</v>
      </c>
      <c r="I283" s="269">
        <v>0</v>
      </c>
      <c r="J283" s="273">
        <v>0</v>
      </c>
      <c r="K283" s="278"/>
    </row>
    <row r="284" ht="22" customHeight="1" spans="1:11">
      <c r="A284" s="270">
        <v>2110399</v>
      </c>
      <c r="B284" s="271" t="s">
        <v>510</v>
      </c>
      <c r="C284" s="268">
        <v>0</v>
      </c>
      <c r="D284" s="268">
        <v>6.66</v>
      </c>
      <c r="E284" s="268">
        <v>68.06</v>
      </c>
      <c r="F284" s="273">
        <v>6.66</v>
      </c>
      <c r="G284" s="269">
        <f>F284/D284</f>
        <v>1</v>
      </c>
      <c r="H284" s="273">
        <v>0</v>
      </c>
      <c r="I284" s="269">
        <v>0</v>
      </c>
      <c r="J284" s="273">
        <v>43.08</v>
      </c>
      <c r="K284" s="278"/>
    </row>
    <row r="285" ht="22" customHeight="1" spans="1:11">
      <c r="A285" s="270">
        <v>21104</v>
      </c>
      <c r="B285" s="271" t="s">
        <v>511</v>
      </c>
      <c r="C285" s="268">
        <v>0</v>
      </c>
      <c r="D285" s="268">
        <v>0</v>
      </c>
      <c r="E285" s="268">
        <v>800</v>
      </c>
      <c r="F285" s="273">
        <v>0</v>
      </c>
      <c r="G285" s="269">
        <v>0</v>
      </c>
      <c r="H285" s="273">
        <v>0</v>
      </c>
      <c r="I285" s="269">
        <v>0</v>
      </c>
      <c r="J285" s="273">
        <v>0</v>
      </c>
      <c r="K285" s="278"/>
    </row>
    <row r="286" ht="22" customHeight="1" spans="1:11">
      <c r="A286" s="270">
        <v>2110402</v>
      </c>
      <c r="B286" s="271" t="s">
        <v>512</v>
      </c>
      <c r="C286" s="268">
        <v>0</v>
      </c>
      <c r="D286" s="268">
        <v>0</v>
      </c>
      <c r="E286" s="268">
        <v>800</v>
      </c>
      <c r="F286" s="273">
        <v>0</v>
      </c>
      <c r="G286" s="269">
        <v>0</v>
      </c>
      <c r="H286" s="273">
        <v>0</v>
      </c>
      <c r="I286" s="269">
        <v>0</v>
      </c>
      <c r="J286" s="273">
        <v>0</v>
      </c>
      <c r="K286" s="278"/>
    </row>
    <row r="287" ht="22" customHeight="1" spans="1:11">
      <c r="A287" s="270">
        <v>21105</v>
      </c>
      <c r="B287" s="271" t="s">
        <v>513</v>
      </c>
      <c r="C287" s="268">
        <v>415</v>
      </c>
      <c r="D287" s="268">
        <v>99.6</v>
      </c>
      <c r="E287" s="268">
        <v>420.25</v>
      </c>
      <c r="F287" s="273">
        <v>0</v>
      </c>
      <c r="G287" s="269">
        <f>F287/D287</f>
        <v>0</v>
      </c>
      <c r="H287" s="273">
        <v>443.8</v>
      </c>
      <c r="I287" s="269">
        <f t="shared" ref="I287:I294" si="34">(F287-H287)/H287</f>
        <v>-1</v>
      </c>
      <c r="J287" s="273">
        <v>420.25</v>
      </c>
      <c r="K287" s="278"/>
    </row>
    <row r="288" ht="22" customHeight="1" spans="1:11">
      <c r="A288" s="270">
        <v>2110501</v>
      </c>
      <c r="B288" s="271" t="s">
        <v>514</v>
      </c>
      <c r="C288" s="268">
        <v>415</v>
      </c>
      <c r="D288" s="268">
        <v>99.6</v>
      </c>
      <c r="E288" s="268">
        <v>415</v>
      </c>
      <c r="F288" s="273">
        <v>0</v>
      </c>
      <c r="G288" s="269">
        <f>F288/D288</f>
        <v>0</v>
      </c>
      <c r="H288" s="273">
        <v>415</v>
      </c>
      <c r="I288" s="269">
        <f t="shared" si="34"/>
        <v>-1</v>
      </c>
      <c r="J288" s="273">
        <v>415</v>
      </c>
      <c r="K288" s="278"/>
    </row>
    <row r="289" ht="22" customHeight="1" spans="1:11">
      <c r="A289" s="270">
        <v>2110502</v>
      </c>
      <c r="B289" s="271" t="s">
        <v>515</v>
      </c>
      <c r="C289" s="268">
        <v>0</v>
      </c>
      <c r="D289" s="268">
        <v>0</v>
      </c>
      <c r="E289" s="268">
        <v>2.25</v>
      </c>
      <c r="F289" s="273">
        <v>0</v>
      </c>
      <c r="G289" s="269">
        <v>0</v>
      </c>
      <c r="H289" s="273">
        <v>19.57</v>
      </c>
      <c r="I289" s="269">
        <f t="shared" si="34"/>
        <v>-1</v>
      </c>
      <c r="J289" s="273">
        <v>2.25</v>
      </c>
      <c r="K289" s="278"/>
    </row>
    <row r="290" ht="22" customHeight="1" spans="1:11">
      <c r="A290" s="270">
        <v>2110503</v>
      </c>
      <c r="B290" s="271" t="s">
        <v>516</v>
      </c>
      <c r="C290" s="268">
        <v>0</v>
      </c>
      <c r="D290" s="268">
        <v>0</v>
      </c>
      <c r="E290" s="268">
        <v>3</v>
      </c>
      <c r="F290" s="273">
        <v>0</v>
      </c>
      <c r="G290" s="269">
        <v>0</v>
      </c>
      <c r="H290" s="273">
        <v>9.23</v>
      </c>
      <c r="I290" s="269">
        <f t="shared" si="34"/>
        <v>-1</v>
      </c>
      <c r="J290" s="273">
        <v>3</v>
      </c>
      <c r="K290" s="278"/>
    </row>
    <row r="291" ht="22" customHeight="1" spans="1:11">
      <c r="A291" s="270">
        <v>21106</v>
      </c>
      <c r="B291" s="271" t="s">
        <v>517</v>
      </c>
      <c r="C291" s="268">
        <v>9.39</v>
      </c>
      <c r="D291" s="268">
        <v>9.39</v>
      </c>
      <c r="E291" s="268">
        <v>1158.63</v>
      </c>
      <c r="F291" s="273">
        <v>0.88308</v>
      </c>
      <c r="G291" s="269">
        <f>F291/D291</f>
        <v>0.0940447284345048</v>
      </c>
      <c r="H291" s="273">
        <v>494.422168</v>
      </c>
      <c r="I291" s="269">
        <f t="shared" si="34"/>
        <v>-0.998213915036269</v>
      </c>
      <c r="J291" s="273">
        <v>1155.80012</v>
      </c>
      <c r="K291" s="278"/>
    </row>
    <row r="292" ht="22" customHeight="1" spans="1:11">
      <c r="A292" s="270">
        <v>2110602</v>
      </c>
      <c r="B292" s="271" t="s">
        <v>518</v>
      </c>
      <c r="C292" s="268">
        <v>0</v>
      </c>
      <c r="D292" s="268">
        <v>0</v>
      </c>
      <c r="E292" s="268">
        <v>1150.56</v>
      </c>
      <c r="F292" s="273">
        <v>0</v>
      </c>
      <c r="G292" s="269">
        <v>0</v>
      </c>
      <c r="H292" s="273">
        <v>490.36</v>
      </c>
      <c r="I292" s="269">
        <f t="shared" si="34"/>
        <v>-1</v>
      </c>
      <c r="J292" s="273">
        <v>1149.9055</v>
      </c>
      <c r="K292" s="278"/>
    </row>
    <row r="293" ht="22" customHeight="1" spans="1:11">
      <c r="A293" s="270">
        <v>2110604</v>
      </c>
      <c r="B293" s="271" t="s">
        <v>519</v>
      </c>
      <c r="C293" s="268">
        <v>0.9</v>
      </c>
      <c r="D293" s="268">
        <v>0.9</v>
      </c>
      <c r="E293" s="268">
        <v>0</v>
      </c>
      <c r="F293" s="273">
        <v>0.88308</v>
      </c>
      <c r="G293" s="269">
        <f>F293/D293</f>
        <v>0.9812</v>
      </c>
      <c r="H293" s="273">
        <v>4.062168</v>
      </c>
      <c r="I293" s="269">
        <f t="shared" si="34"/>
        <v>-0.782608695652174</v>
      </c>
      <c r="J293" s="273">
        <v>0</v>
      </c>
      <c r="K293" s="278"/>
    </row>
    <row r="294" ht="22" customHeight="1" spans="1:11">
      <c r="A294" s="270">
        <v>2110699</v>
      </c>
      <c r="B294" s="271" t="s">
        <v>520</v>
      </c>
      <c r="C294" s="268">
        <v>8.49</v>
      </c>
      <c r="D294" s="268">
        <v>8.49</v>
      </c>
      <c r="E294" s="268">
        <v>8.07</v>
      </c>
      <c r="F294" s="273">
        <v>0</v>
      </c>
      <c r="G294" s="269">
        <f>F294/D294</f>
        <v>0</v>
      </c>
      <c r="H294" s="273">
        <v>0</v>
      </c>
      <c r="I294" s="269">
        <v>0</v>
      </c>
      <c r="J294" s="273">
        <v>5.89462</v>
      </c>
      <c r="K294" s="278"/>
    </row>
    <row r="295" ht="22" customHeight="1" spans="1:11">
      <c r="A295" s="270">
        <v>21107</v>
      </c>
      <c r="B295" s="271" t="s">
        <v>521</v>
      </c>
      <c r="C295" s="268">
        <v>0</v>
      </c>
      <c r="D295" s="268">
        <v>0</v>
      </c>
      <c r="E295" s="268">
        <v>120</v>
      </c>
      <c r="F295" s="273">
        <v>0</v>
      </c>
      <c r="G295" s="269">
        <v>0</v>
      </c>
      <c r="H295" s="273">
        <v>0</v>
      </c>
      <c r="I295" s="269">
        <v>0</v>
      </c>
      <c r="J295" s="273">
        <v>0</v>
      </c>
      <c r="K295" s="278"/>
    </row>
    <row r="296" ht="22" customHeight="1" spans="1:11">
      <c r="A296" s="270">
        <v>2110799</v>
      </c>
      <c r="B296" s="271" t="s">
        <v>522</v>
      </c>
      <c r="C296" s="268">
        <v>0</v>
      </c>
      <c r="D296" s="268">
        <v>0</v>
      </c>
      <c r="E296" s="268">
        <v>120</v>
      </c>
      <c r="F296" s="273">
        <v>0</v>
      </c>
      <c r="G296" s="269">
        <v>0</v>
      </c>
      <c r="H296" s="273">
        <v>0</v>
      </c>
      <c r="I296" s="269">
        <v>0</v>
      </c>
      <c r="J296" s="273">
        <v>0</v>
      </c>
      <c r="K296" s="278"/>
    </row>
    <row r="297" ht="22" customHeight="1" spans="1:11">
      <c r="A297" s="270">
        <v>21111</v>
      </c>
      <c r="B297" s="271" t="s">
        <v>523</v>
      </c>
      <c r="C297" s="268">
        <v>0</v>
      </c>
      <c r="D297" s="268">
        <v>0</v>
      </c>
      <c r="E297" s="268">
        <v>100.14</v>
      </c>
      <c r="F297" s="273">
        <v>0</v>
      </c>
      <c r="G297" s="269">
        <v>0</v>
      </c>
      <c r="H297" s="273">
        <v>200.0706</v>
      </c>
      <c r="I297" s="269">
        <f>(F297-H297)/H297</f>
        <v>-1</v>
      </c>
      <c r="J297" s="273">
        <v>100.14</v>
      </c>
      <c r="K297" s="278"/>
    </row>
    <row r="298" ht="22" customHeight="1" spans="1:11">
      <c r="A298" s="270">
        <v>2111101</v>
      </c>
      <c r="B298" s="271" t="s">
        <v>524</v>
      </c>
      <c r="C298" s="268">
        <v>0</v>
      </c>
      <c r="D298" s="268">
        <v>0</v>
      </c>
      <c r="E298" s="268">
        <v>0</v>
      </c>
      <c r="F298" s="273">
        <v>0</v>
      </c>
      <c r="G298" s="269">
        <v>0</v>
      </c>
      <c r="H298" s="273">
        <v>112.4006</v>
      </c>
      <c r="I298" s="269">
        <f>(F298-H298)/H298</f>
        <v>-1</v>
      </c>
      <c r="J298" s="273">
        <v>0</v>
      </c>
      <c r="K298" s="278"/>
    </row>
    <row r="299" ht="22" customHeight="1" spans="1:11">
      <c r="A299" s="270">
        <v>2111199</v>
      </c>
      <c r="B299" s="285" t="s">
        <v>525</v>
      </c>
      <c r="C299" s="268">
        <v>0</v>
      </c>
      <c r="D299" s="268">
        <v>0</v>
      </c>
      <c r="E299" s="268">
        <v>100.14</v>
      </c>
      <c r="F299" s="273">
        <v>0</v>
      </c>
      <c r="G299" s="269">
        <v>0</v>
      </c>
      <c r="H299" s="273">
        <v>87.67</v>
      </c>
      <c r="I299" s="269">
        <f>(F299-H299)/H299</f>
        <v>-1</v>
      </c>
      <c r="J299" s="273">
        <v>100.14</v>
      </c>
      <c r="K299" s="278"/>
    </row>
    <row r="300" ht="22" customHeight="1" spans="1:11">
      <c r="A300" s="270">
        <v>21113</v>
      </c>
      <c r="B300" s="285" t="s">
        <v>526</v>
      </c>
      <c r="C300" s="268">
        <v>0</v>
      </c>
      <c r="D300" s="268">
        <v>0</v>
      </c>
      <c r="E300" s="268">
        <v>100</v>
      </c>
      <c r="F300" s="273">
        <v>0</v>
      </c>
      <c r="G300" s="269">
        <v>0</v>
      </c>
      <c r="H300" s="273">
        <v>0</v>
      </c>
      <c r="I300" s="269">
        <v>0</v>
      </c>
      <c r="J300" s="273">
        <v>100</v>
      </c>
      <c r="K300" s="278"/>
    </row>
    <row r="301" ht="22" customHeight="1" spans="1:11">
      <c r="A301" s="270">
        <v>2111301</v>
      </c>
      <c r="B301" s="285" t="s">
        <v>527</v>
      </c>
      <c r="C301" s="268">
        <v>0</v>
      </c>
      <c r="D301" s="268">
        <v>0</v>
      </c>
      <c r="E301" s="268">
        <v>100</v>
      </c>
      <c r="F301" s="273">
        <v>0</v>
      </c>
      <c r="G301" s="269">
        <v>0</v>
      </c>
      <c r="H301" s="273">
        <v>0</v>
      </c>
      <c r="I301" s="269">
        <v>0</v>
      </c>
      <c r="J301" s="273">
        <v>100</v>
      </c>
      <c r="K301" s="278"/>
    </row>
    <row r="302" ht="22" customHeight="1" spans="1:11">
      <c r="A302" s="270">
        <v>21199</v>
      </c>
      <c r="B302" s="271" t="s">
        <v>528</v>
      </c>
      <c r="C302" s="268">
        <v>0</v>
      </c>
      <c r="D302" s="268">
        <v>0</v>
      </c>
      <c r="E302" s="268">
        <v>800.3</v>
      </c>
      <c r="F302" s="273">
        <v>0</v>
      </c>
      <c r="G302" s="269">
        <v>0</v>
      </c>
      <c r="H302" s="273">
        <v>740</v>
      </c>
      <c r="I302" s="269">
        <f t="shared" ref="I302:I312" si="35">(F302-H302)/H302</f>
        <v>-1</v>
      </c>
      <c r="J302" s="273">
        <v>0.3</v>
      </c>
      <c r="K302" s="278"/>
    </row>
    <row r="303" ht="22" customHeight="1" spans="1:11">
      <c r="A303" s="270">
        <v>2119901</v>
      </c>
      <c r="B303" s="271" t="s">
        <v>529</v>
      </c>
      <c r="C303" s="268">
        <v>0</v>
      </c>
      <c r="D303" s="268">
        <v>0</v>
      </c>
      <c r="E303" s="268">
        <v>0</v>
      </c>
      <c r="F303" s="273">
        <v>0</v>
      </c>
      <c r="G303" s="269">
        <v>0</v>
      </c>
      <c r="H303" s="273">
        <v>740</v>
      </c>
      <c r="I303" s="269">
        <f t="shared" si="35"/>
        <v>-1</v>
      </c>
      <c r="J303" s="273">
        <v>0</v>
      </c>
      <c r="K303" s="278"/>
    </row>
    <row r="304" ht="22" customHeight="1" spans="1:11">
      <c r="A304" s="270">
        <v>2119999</v>
      </c>
      <c r="B304" s="271" t="s">
        <v>530</v>
      </c>
      <c r="C304" s="268">
        <v>0</v>
      </c>
      <c r="D304" s="268">
        <v>0</v>
      </c>
      <c r="E304" s="268">
        <v>800.3</v>
      </c>
      <c r="F304" s="273">
        <v>0</v>
      </c>
      <c r="G304" s="269">
        <v>0</v>
      </c>
      <c r="H304" s="273">
        <v>0</v>
      </c>
      <c r="I304" s="269">
        <v>0</v>
      </c>
      <c r="J304" s="273">
        <v>0.3</v>
      </c>
      <c r="K304" s="278"/>
    </row>
    <row r="305" ht="22" customHeight="1" spans="1:11">
      <c r="A305" s="270">
        <v>212</v>
      </c>
      <c r="B305" s="271" t="s">
        <v>531</v>
      </c>
      <c r="C305" s="268">
        <v>4002.766122</v>
      </c>
      <c r="D305" s="268">
        <v>4216.812075</v>
      </c>
      <c r="E305" s="268">
        <v>577.75</v>
      </c>
      <c r="F305" s="273">
        <v>3468.246979</v>
      </c>
      <c r="G305" s="269">
        <f t="shared" ref="G305:G315" si="36">F305/D305</f>
        <v>0.822480802396204</v>
      </c>
      <c r="H305" s="273">
        <v>5377.728562</v>
      </c>
      <c r="I305" s="269">
        <f t="shared" si="35"/>
        <v>-0.355072138912466</v>
      </c>
      <c r="J305" s="273">
        <v>0.75</v>
      </c>
      <c r="K305" s="278"/>
    </row>
    <row r="306" ht="22" customHeight="1" spans="1:11">
      <c r="A306" s="270">
        <v>21201</v>
      </c>
      <c r="B306" s="271" t="s">
        <v>532</v>
      </c>
      <c r="C306" s="268">
        <v>3622.766122</v>
      </c>
      <c r="D306" s="268">
        <v>3785.062075</v>
      </c>
      <c r="E306" s="268">
        <v>0</v>
      </c>
      <c r="F306" s="273">
        <v>3361.056979</v>
      </c>
      <c r="G306" s="269">
        <f t="shared" si="36"/>
        <v>0.887979354737531</v>
      </c>
      <c r="H306" s="273">
        <v>4377.728562</v>
      </c>
      <c r="I306" s="269">
        <f t="shared" si="35"/>
        <v>-0.232237236411827</v>
      </c>
      <c r="J306" s="273">
        <v>0</v>
      </c>
      <c r="K306" s="278"/>
    </row>
    <row r="307" ht="22" customHeight="1" spans="1:11">
      <c r="A307" s="270">
        <v>2120101</v>
      </c>
      <c r="B307" s="271" t="s">
        <v>288</v>
      </c>
      <c r="C307" s="268">
        <v>2706.656306</v>
      </c>
      <c r="D307" s="268">
        <v>2746.418579</v>
      </c>
      <c r="E307" s="268">
        <v>0</v>
      </c>
      <c r="F307" s="273">
        <v>2684.363373</v>
      </c>
      <c r="G307" s="269">
        <f t="shared" si="36"/>
        <v>0.977405044345937</v>
      </c>
      <c r="H307" s="273">
        <v>3406.757214</v>
      </c>
      <c r="I307" s="269">
        <f t="shared" si="35"/>
        <v>-0.212047350492526</v>
      </c>
      <c r="J307" s="273">
        <v>0</v>
      </c>
      <c r="K307" s="278"/>
    </row>
    <row r="308" ht="22" customHeight="1" spans="1:11">
      <c r="A308" s="270">
        <v>2120102</v>
      </c>
      <c r="B308" s="271" t="s">
        <v>294</v>
      </c>
      <c r="C308" s="268">
        <v>250</v>
      </c>
      <c r="D308" s="268">
        <v>370</v>
      </c>
      <c r="E308" s="268">
        <v>0</v>
      </c>
      <c r="F308" s="273">
        <v>5.5949</v>
      </c>
      <c r="G308" s="269">
        <f t="shared" si="36"/>
        <v>0.0151213513513514</v>
      </c>
      <c r="H308" s="273">
        <v>150</v>
      </c>
      <c r="I308" s="269">
        <f t="shared" si="35"/>
        <v>-0.962700666666667</v>
      </c>
      <c r="J308" s="273">
        <v>0</v>
      </c>
      <c r="K308" s="278"/>
    </row>
    <row r="309" ht="22" customHeight="1" spans="1:11">
      <c r="A309" s="270">
        <v>2120104</v>
      </c>
      <c r="B309" s="271" t="s">
        <v>533</v>
      </c>
      <c r="C309" s="268">
        <v>592.809816</v>
      </c>
      <c r="D309" s="268">
        <v>592.809816</v>
      </c>
      <c r="E309" s="268">
        <v>0</v>
      </c>
      <c r="F309" s="273">
        <v>595.313026</v>
      </c>
      <c r="G309" s="269">
        <f t="shared" si="36"/>
        <v>1.00422261901277</v>
      </c>
      <c r="H309" s="273">
        <v>790.290524</v>
      </c>
      <c r="I309" s="269">
        <f t="shared" si="35"/>
        <v>-0.246716229131959</v>
      </c>
      <c r="J309" s="273">
        <v>0</v>
      </c>
      <c r="K309" s="278"/>
    </row>
    <row r="310" ht="22" customHeight="1" spans="1:11">
      <c r="A310" s="270">
        <v>2120199</v>
      </c>
      <c r="B310" s="283" t="s">
        <v>534</v>
      </c>
      <c r="C310" s="268">
        <v>73.3</v>
      </c>
      <c r="D310" s="268">
        <v>75.83368</v>
      </c>
      <c r="E310" s="268">
        <v>0</v>
      </c>
      <c r="F310" s="273">
        <v>75.78568</v>
      </c>
      <c r="G310" s="269">
        <f t="shared" si="36"/>
        <v>0.999367035860583</v>
      </c>
      <c r="H310" s="273">
        <v>30.680824</v>
      </c>
      <c r="I310" s="269">
        <f t="shared" si="35"/>
        <v>1.47013183218286</v>
      </c>
      <c r="J310" s="273">
        <v>0</v>
      </c>
      <c r="K310" s="278"/>
    </row>
    <row r="311" ht="22" customHeight="1" spans="1:11">
      <c r="A311" s="270">
        <v>21203</v>
      </c>
      <c r="B311" s="283" t="s">
        <v>535</v>
      </c>
      <c r="C311" s="268">
        <v>380</v>
      </c>
      <c r="D311" s="268">
        <v>381.75</v>
      </c>
      <c r="E311" s="268">
        <v>535.75</v>
      </c>
      <c r="F311" s="273">
        <v>82.75</v>
      </c>
      <c r="G311" s="269">
        <f t="shared" si="36"/>
        <v>0.216764898493779</v>
      </c>
      <c r="H311" s="273">
        <v>800</v>
      </c>
      <c r="I311" s="269">
        <f t="shared" si="35"/>
        <v>-0.8965625</v>
      </c>
      <c r="J311" s="273">
        <v>0.75</v>
      </c>
      <c r="K311" s="278"/>
    </row>
    <row r="312" ht="22" customHeight="1" spans="1:11">
      <c r="A312" s="270">
        <v>2120303</v>
      </c>
      <c r="B312" s="271" t="s">
        <v>536</v>
      </c>
      <c r="C312" s="268">
        <v>380</v>
      </c>
      <c r="D312" s="268">
        <v>380</v>
      </c>
      <c r="E312" s="268">
        <v>0</v>
      </c>
      <c r="F312" s="273">
        <v>81</v>
      </c>
      <c r="G312" s="269">
        <f t="shared" si="36"/>
        <v>0.213157894736842</v>
      </c>
      <c r="H312" s="273">
        <v>800</v>
      </c>
      <c r="I312" s="269">
        <f t="shared" si="35"/>
        <v>-0.89875</v>
      </c>
      <c r="J312" s="273">
        <v>0</v>
      </c>
      <c r="K312" s="278"/>
    </row>
    <row r="313" ht="22" customHeight="1" spans="1:11">
      <c r="A313" s="270">
        <v>2120399</v>
      </c>
      <c r="B313" s="271" t="s">
        <v>537</v>
      </c>
      <c r="C313" s="268">
        <v>0</v>
      </c>
      <c r="D313" s="268">
        <v>1.75</v>
      </c>
      <c r="E313" s="268">
        <v>535.75</v>
      </c>
      <c r="F313" s="273">
        <v>1.75</v>
      </c>
      <c r="G313" s="269">
        <f t="shared" si="36"/>
        <v>1</v>
      </c>
      <c r="H313" s="273">
        <v>0</v>
      </c>
      <c r="I313" s="269">
        <v>0</v>
      </c>
      <c r="J313" s="273">
        <v>0.75</v>
      </c>
      <c r="K313" s="278"/>
    </row>
    <row r="314" ht="22" customHeight="1" spans="1:11">
      <c r="A314" s="270">
        <v>21205</v>
      </c>
      <c r="B314" s="271" t="s">
        <v>538</v>
      </c>
      <c r="C314" s="268">
        <v>0</v>
      </c>
      <c r="D314" s="268">
        <v>50</v>
      </c>
      <c r="E314" s="268">
        <v>42</v>
      </c>
      <c r="F314" s="273">
        <v>24.44</v>
      </c>
      <c r="G314" s="269">
        <f t="shared" si="36"/>
        <v>0.4888</v>
      </c>
      <c r="H314" s="273">
        <v>100</v>
      </c>
      <c r="I314" s="269">
        <f t="shared" ref="I314:I319" si="37">(F314-H314)/H314</f>
        <v>-0.7556</v>
      </c>
      <c r="J314" s="273">
        <v>0</v>
      </c>
      <c r="K314" s="278"/>
    </row>
    <row r="315" ht="22" customHeight="1" spans="1:11">
      <c r="A315" s="270">
        <v>2120501</v>
      </c>
      <c r="B315" s="271" t="s">
        <v>539</v>
      </c>
      <c r="C315" s="268">
        <v>0</v>
      </c>
      <c r="D315" s="268">
        <v>50</v>
      </c>
      <c r="E315" s="268">
        <v>42</v>
      </c>
      <c r="F315" s="273">
        <v>24.44</v>
      </c>
      <c r="G315" s="269">
        <f t="shared" si="36"/>
        <v>0.4888</v>
      </c>
      <c r="H315" s="273">
        <v>100</v>
      </c>
      <c r="I315" s="269">
        <f t="shared" si="37"/>
        <v>-0.7556</v>
      </c>
      <c r="J315" s="273">
        <v>0</v>
      </c>
      <c r="K315" s="278"/>
    </row>
    <row r="316" ht="22" customHeight="1" spans="1:11">
      <c r="A316" s="274">
        <v>21299</v>
      </c>
      <c r="B316" s="271" t="s">
        <v>540</v>
      </c>
      <c r="C316" s="268">
        <v>0</v>
      </c>
      <c r="D316" s="268">
        <v>0</v>
      </c>
      <c r="E316" s="268">
        <v>0</v>
      </c>
      <c r="F316" s="273">
        <v>0</v>
      </c>
      <c r="G316" s="269">
        <v>0</v>
      </c>
      <c r="H316" s="273">
        <v>100</v>
      </c>
      <c r="I316" s="269">
        <f t="shared" si="37"/>
        <v>-1</v>
      </c>
      <c r="J316" s="273">
        <v>0</v>
      </c>
      <c r="K316" s="278"/>
    </row>
    <row r="317" ht="22" customHeight="1" spans="1:11">
      <c r="A317" s="274">
        <v>2129901</v>
      </c>
      <c r="B317" s="271" t="s">
        <v>540</v>
      </c>
      <c r="C317" s="268">
        <v>0</v>
      </c>
      <c r="D317" s="268">
        <v>0</v>
      </c>
      <c r="E317" s="268">
        <v>0</v>
      </c>
      <c r="F317" s="273">
        <v>0</v>
      </c>
      <c r="G317" s="269">
        <v>0</v>
      </c>
      <c r="H317" s="273">
        <v>100</v>
      </c>
      <c r="I317" s="269">
        <f t="shared" si="37"/>
        <v>-1</v>
      </c>
      <c r="J317" s="273">
        <v>0</v>
      </c>
      <c r="K317" s="278"/>
    </row>
    <row r="318" ht="22" customHeight="1" spans="1:11">
      <c r="A318" s="270">
        <v>213</v>
      </c>
      <c r="B318" s="271" t="s">
        <v>541</v>
      </c>
      <c r="C318" s="268">
        <v>5503.537128</v>
      </c>
      <c r="D318" s="268">
        <v>8485.046385</v>
      </c>
      <c r="E318" s="268">
        <v>39064.09</v>
      </c>
      <c r="F318" s="273">
        <v>7836.788818</v>
      </c>
      <c r="G318" s="269">
        <f>F318/D318</f>
        <v>0.923599997267428</v>
      </c>
      <c r="H318" s="273">
        <v>18962.363705</v>
      </c>
      <c r="I318" s="269">
        <f t="shared" si="37"/>
        <v>-0.586718779371709</v>
      </c>
      <c r="J318" s="273">
        <v>12726.059567</v>
      </c>
      <c r="K318" s="278"/>
    </row>
    <row r="319" ht="22" customHeight="1" spans="1:11">
      <c r="A319" s="270">
        <v>21301</v>
      </c>
      <c r="B319" s="271" t="s">
        <v>542</v>
      </c>
      <c r="C319" s="268">
        <v>3333.325506</v>
      </c>
      <c r="D319" s="268">
        <v>3553.67871</v>
      </c>
      <c r="E319" s="268">
        <v>22849.83</v>
      </c>
      <c r="F319" s="273">
        <v>3520.895896</v>
      </c>
      <c r="G319" s="269">
        <f>F319/D319</f>
        <v>0.990774964009056</v>
      </c>
      <c r="H319" s="273">
        <v>11278.322487</v>
      </c>
      <c r="I319" s="269">
        <f t="shared" si="37"/>
        <v>-0.68781741255773</v>
      </c>
      <c r="J319" s="273">
        <v>4236.977076</v>
      </c>
      <c r="K319" s="278"/>
    </row>
    <row r="320" ht="22" customHeight="1" spans="1:11">
      <c r="A320" s="270">
        <v>2130102</v>
      </c>
      <c r="B320" s="271" t="s">
        <v>294</v>
      </c>
      <c r="C320" s="268">
        <v>28</v>
      </c>
      <c r="D320" s="268">
        <v>31.500034</v>
      </c>
      <c r="E320" s="268">
        <v>0</v>
      </c>
      <c r="F320" s="273">
        <v>0</v>
      </c>
      <c r="G320" s="269">
        <f>F320/D320</f>
        <v>0</v>
      </c>
      <c r="H320" s="273">
        <v>0</v>
      </c>
      <c r="I320" s="269">
        <v>0</v>
      </c>
      <c r="J320" s="273">
        <v>0</v>
      </c>
      <c r="K320" s="278"/>
    </row>
    <row r="321" ht="22" customHeight="1" spans="1:11">
      <c r="A321" s="270">
        <v>2130104</v>
      </c>
      <c r="B321" s="271" t="s">
        <v>291</v>
      </c>
      <c r="C321" s="268">
        <v>2977.21438</v>
      </c>
      <c r="D321" s="268">
        <v>3082.88655</v>
      </c>
      <c r="E321" s="268">
        <v>0</v>
      </c>
      <c r="F321" s="273">
        <v>3007.387109</v>
      </c>
      <c r="G321" s="269">
        <f>F321/D321</f>
        <v>0.975510146164801</v>
      </c>
      <c r="H321" s="273">
        <v>3796.879921</v>
      </c>
      <c r="I321" s="269">
        <f>(F321-H321)/H321</f>
        <v>-0.207931993749244</v>
      </c>
      <c r="J321" s="273">
        <v>0</v>
      </c>
      <c r="K321" s="278"/>
    </row>
    <row r="322" ht="22" customHeight="1" spans="1:11">
      <c r="A322" s="270">
        <v>2130106</v>
      </c>
      <c r="B322" s="271" t="s">
        <v>543</v>
      </c>
      <c r="C322" s="268">
        <v>0</v>
      </c>
      <c r="D322" s="268">
        <v>0</v>
      </c>
      <c r="E322" s="268">
        <v>1216</v>
      </c>
      <c r="F322" s="273">
        <v>0</v>
      </c>
      <c r="G322" s="269">
        <v>0</v>
      </c>
      <c r="H322" s="273">
        <v>40</v>
      </c>
      <c r="I322" s="269">
        <f>(F322-H322)/H322</f>
        <v>-1</v>
      </c>
      <c r="J322" s="273">
        <v>118.384</v>
      </c>
      <c r="K322" s="278"/>
    </row>
    <row r="323" ht="22" customHeight="1" spans="1:11">
      <c r="A323" s="270">
        <v>2130108</v>
      </c>
      <c r="B323" s="271" t="s">
        <v>544</v>
      </c>
      <c r="C323" s="268">
        <v>129.51</v>
      </c>
      <c r="D323" s="268">
        <v>190.691</v>
      </c>
      <c r="E323" s="268">
        <v>87.72</v>
      </c>
      <c r="F323" s="273">
        <v>71.0796</v>
      </c>
      <c r="G323" s="269">
        <f>F323/D323</f>
        <v>0.372747533968567</v>
      </c>
      <c r="H323" s="273">
        <v>80.71</v>
      </c>
      <c r="I323" s="269">
        <f>(F323-H323)/H323</f>
        <v>-0.11932102589518</v>
      </c>
      <c r="J323" s="273">
        <v>61.3802</v>
      </c>
      <c r="K323" s="278"/>
    </row>
    <row r="324" ht="22" customHeight="1" spans="1:11">
      <c r="A324" s="270">
        <v>2130109</v>
      </c>
      <c r="B324" s="271" t="s">
        <v>545</v>
      </c>
      <c r="C324" s="268">
        <v>15</v>
      </c>
      <c r="D324" s="268">
        <v>15</v>
      </c>
      <c r="E324" s="268">
        <v>7.525</v>
      </c>
      <c r="F324" s="273">
        <v>1.652506</v>
      </c>
      <c r="G324" s="269">
        <f>F324/D324</f>
        <v>0.110167066666667</v>
      </c>
      <c r="H324" s="273">
        <v>14.419858</v>
      </c>
      <c r="I324" s="269">
        <f>(F324-H324)/H324</f>
        <v>-0.88540067454201</v>
      </c>
      <c r="J324" s="273">
        <v>1.388615</v>
      </c>
      <c r="K324" s="278"/>
    </row>
    <row r="325" ht="22" customHeight="1" spans="1:11">
      <c r="A325" s="270">
        <v>2130112</v>
      </c>
      <c r="B325" s="271" t="s">
        <v>546</v>
      </c>
      <c r="C325" s="268">
        <v>73.5</v>
      </c>
      <c r="D325" s="268">
        <v>73.5</v>
      </c>
      <c r="E325" s="268">
        <v>0</v>
      </c>
      <c r="F325" s="273">
        <v>73.5</v>
      </c>
      <c r="G325" s="269">
        <f>F325/D325</f>
        <v>1</v>
      </c>
      <c r="H325" s="273">
        <v>0</v>
      </c>
      <c r="I325" s="269">
        <v>0</v>
      </c>
      <c r="J325" s="273">
        <v>0</v>
      </c>
      <c r="K325" s="278"/>
    </row>
    <row r="326" ht="22" customHeight="1" spans="1:11">
      <c r="A326" s="270">
        <v>2130119</v>
      </c>
      <c r="B326" s="271" t="s">
        <v>547</v>
      </c>
      <c r="C326" s="268">
        <v>0</v>
      </c>
      <c r="D326" s="268">
        <v>0</v>
      </c>
      <c r="E326" s="268">
        <v>381.592</v>
      </c>
      <c r="F326" s="273">
        <v>0</v>
      </c>
      <c r="G326" s="269">
        <v>0</v>
      </c>
      <c r="H326" s="273">
        <v>78</v>
      </c>
      <c r="I326" s="269">
        <f>(F326-H326)/H326</f>
        <v>-1</v>
      </c>
      <c r="J326" s="273">
        <v>164.8848</v>
      </c>
      <c r="K326" s="278"/>
    </row>
    <row r="327" ht="22" customHeight="1" spans="1:11">
      <c r="A327" s="270">
        <v>2130122</v>
      </c>
      <c r="B327" s="271" t="s">
        <v>548</v>
      </c>
      <c r="C327" s="268">
        <v>0</v>
      </c>
      <c r="D327" s="268">
        <v>0</v>
      </c>
      <c r="E327" s="268">
        <v>8203.935</v>
      </c>
      <c r="F327" s="273">
        <v>0</v>
      </c>
      <c r="G327" s="269">
        <v>0</v>
      </c>
      <c r="H327" s="273">
        <v>2003.95</v>
      </c>
      <c r="I327" s="269">
        <f t="shared" ref="I327:I341" si="38">(F327-H327)/H327</f>
        <v>-1</v>
      </c>
      <c r="J327" s="273">
        <v>2179.862</v>
      </c>
      <c r="K327" s="278"/>
    </row>
    <row r="328" ht="22" customHeight="1" spans="1:11">
      <c r="A328" s="270">
        <v>2130124</v>
      </c>
      <c r="B328" s="271" t="s">
        <v>549</v>
      </c>
      <c r="C328" s="268">
        <v>0</v>
      </c>
      <c r="D328" s="268">
        <v>0</v>
      </c>
      <c r="E328" s="268">
        <v>107.3</v>
      </c>
      <c r="F328" s="273">
        <v>0</v>
      </c>
      <c r="G328" s="269">
        <v>0</v>
      </c>
      <c r="H328" s="273">
        <v>0</v>
      </c>
      <c r="I328" s="269">
        <v>0</v>
      </c>
      <c r="J328" s="273">
        <v>0</v>
      </c>
      <c r="K328" s="278"/>
    </row>
    <row r="329" ht="22" customHeight="1" spans="1:11">
      <c r="A329" s="270">
        <v>2130125</v>
      </c>
      <c r="B329" s="271" t="s">
        <v>550</v>
      </c>
      <c r="C329" s="268">
        <v>0</v>
      </c>
      <c r="D329" s="268">
        <v>0</v>
      </c>
      <c r="E329" s="268">
        <v>844.7</v>
      </c>
      <c r="F329" s="273">
        <v>0</v>
      </c>
      <c r="G329" s="269">
        <v>0</v>
      </c>
      <c r="H329" s="273">
        <v>0</v>
      </c>
      <c r="I329" s="269">
        <v>0</v>
      </c>
      <c r="J329" s="273">
        <v>677.748</v>
      </c>
      <c r="K329" s="278"/>
    </row>
    <row r="330" ht="22" customHeight="1" spans="1:11">
      <c r="A330" s="270">
        <v>2130126</v>
      </c>
      <c r="B330" s="271" t="s">
        <v>551</v>
      </c>
      <c r="C330" s="268">
        <v>0</v>
      </c>
      <c r="D330" s="268">
        <v>0</v>
      </c>
      <c r="E330" s="268">
        <v>55</v>
      </c>
      <c r="F330" s="273">
        <v>0</v>
      </c>
      <c r="G330" s="269">
        <v>0</v>
      </c>
      <c r="H330" s="273">
        <v>0</v>
      </c>
      <c r="I330" s="269">
        <v>0</v>
      </c>
      <c r="J330" s="273">
        <v>0</v>
      </c>
      <c r="K330" s="278"/>
    </row>
    <row r="331" ht="22" customHeight="1" spans="1:11">
      <c r="A331" s="270">
        <v>2130135</v>
      </c>
      <c r="B331" s="271" t="s">
        <v>552</v>
      </c>
      <c r="C331" s="268">
        <v>0</v>
      </c>
      <c r="D331" s="268">
        <v>0</v>
      </c>
      <c r="E331" s="268">
        <v>83.36</v>
      </c>
      <c r="F331" s="273">
        <v>0</v>
      </c>
      <c r="G331" s="269">
        <v>0</v>
      </c>
      <c r="H331" s="273">
        <v>57.51</v>
      </c>
      <c r="I331" s="269">
        <f t="shared" si="38"/>
        <v>-1</v>
      </c>
      <c r="J331" s="273">
        <v>5.2229</v>
      </c>
      <c r="K331" s="278"/>
    </row>
    <row r="332" ht="22" customHeight="1" spans="1:11">
      <c r="A332" s="270">
        <v>2130142</v>
      </c>
      <c r="B332" s="271" t="s">
        <v>553</v>
      </c>
      <c r="C332" s="268">
        <v>0</v>
      </c>
      <c r="D332" s="268">
        <v>0</v>
      </c>
      <c r="E332" s="268">
        <v>482.61</v>
      </c>
      <c r="F332" s="273">
        <v>0</v>
      </c>
      <c r="G332" s="269">
        <v>0</v>
      </c>
      <c r="H332" s="273">
        <v>0</v>
      </c>
      <c r="I332" s="269">
        <v>0</v>
      </c>
      <c r="J332" s="273">
        <v>0</v>
      </c>
      <c r="K332" s="278"/>
    </row>
    <row r="333" ht="22" customHeight="1" spans="1:11">
      <c r="A333" s="270">
        <v>2130148</v>
      </c>
      <c r="B333" s="271" t="s">
        <v>554</v>
      </c>
      <c r="C333" s="268">
        <v>0</v>
      </c>
      <c r="D333" s="268">
        <v>0</v>
      </c>
      <c r="E333" s="268">
        <v>0</v>
      </c>
      <c r="F333" s="273">
        <v>0</v>
      </c>
      <c r="G333" s="269">
        <v>0</v>
      </c>
      <c r="H333" s="273">
        <v>0.73</v>
      </c>
      <c r="I333" s="269">
        <f t="shared" si="38"/>
        <v>-1</v>
      </c>
      <c r="J333" s="273">
        <v>0</v>
      </c>
      <c r="K333" s="278"/>
    </row>
    <row r="334" ht="22" customHeight="1" spans="1:11">
      <c r="A334" s="270">
        <v>2130152</v>
      </c>
      <c r="B334" s="271" t="s">
        <v>555</v>
      </c>
      <c r="C334" s="268">
        <v>30.355126</v>
      </c>
      <c r="D334" s="268">
        <v>30.355126</v>
      </c>
      <c r="E334" s="268">
        <v>0</v>
      </c>
      <c r="F334" s="273">
        <v>22.940739</v>
      </c>
      <c r="G334" s="269">
        <f>F334/D334</f>
        <v>0.755745141693696</v>
      </c>
      <c r="H334" s="273">
        <v>5.678334</v>
      </c>
      <c r="I334" s="269">
        <f t="shared" si="38"/>
        <v>3.04004748575903</v>
      </c>
      <c r="J334" s="273">
        <v>0</v>
      </c>
      <c r="K334" s="278"/>
    </row>
    <row r="335" ht="22" customHeight="1" spans="1:11">
      <c r="A335" s="270">
        <v>2130153</v>
      </c>
      <c r="B335" s="271" t="s">
        <v>556</v>
      </c>
      <c r="C335" s="268">
        <v>0</v>
      </c>
      <c r="D335" s="268">
        <v>0</v>
      </c>
      <c r="E335" s="268">
        <v>2700</v>
      </c>
      <c r="F335" s="273">
        <v>0</v>
      </c>
      <c r="G335" s="269">
        <v>0</v>
      </c>
      <c r="H335" s="273">
        <v>1848</v>
      </c>
      <c r="I335" s="269">
        <f t="shared" si="38"/>
        <v>-1</v>
      </c>
      <c r="J335" s="273">
        <v>68</v>
      </c>
      <c r="K335" s="278"/>
    </row>
    <row r="336" ht="22" customHeight="1" spans="1:11">
      <c r="A336" s="270">
        <v>2130199</v>
      </c>
      <c r="B336" s="271" t="s">
        <v>557</v>
      </c>
      <c r="C336" s="268">
        <v>79.746</v>
      </c>
      <c r="D336" s="268">
        <v>129.746</v>
      </c>
      <c r="E336" s="268">
        <v>8680.088</v>
      </c>
      <c r="F336" s="273">
        <v>344.335942</v>
      </c>
      <c r="G336" s="269">
        <f>F336/D336</f>
        <v>2.65392337336026</v>
      </c>
      <c r="H336" s="273">
        <v>3352.444374</v>
      </c>
      <c r="I336" s="269">
        <f t="shared" si="38"/>
        <v>-0.897288096807658</v>
      </c>
      <c r="J336" s="273">
        <v>960.106561</v>
      </c>
      <c r="K336" s="278"/>
    </row>
    <row r="337" ht="22" customHeight="1" spans="1:11">
      <c r="A337" s="270">
        <v>21302</v>
      </c>
      <c r="B337" s="271" t="s">
        <v>558</v>
      </c>
      <c r="C337" s="268">
        <v>217.3</v>
      </c>
      <c r="D337" s="268">
        <v>324.337366</v>
      </c>
      <c r="E337" s="268">
        <v>3114</v>
      </c>
      <c r="F337" s="273">
        <v>222.069958</v>
      </c>
      <c r="G337" s="269">
        <f>F337/D337</f>
        <v>0.684688171266705</v>
      </c>
      <c r="H337" s="273">
        <v>855.006368</v>
      </c>
      <c r="I337" s="269">
        <f t="shared" si="38"/>
        <v>-0.74027098942028</v>
      </c>
      <c r="J337" s="273">
        <v>730.360162</v>
      </c>
      <c r="K337" s="278"/>
    </row>
    <row r="338" ht="22" customHeight="1" spans="1:11">
      <c r="A338" s="270">
        <v>2130204</v>
      </c>
      <c r="B338" s="271" t="s">
        <v>559</v>
      </c>
      <c r="C338" s="268">
        <v>0</v>
      </c>
      <c r="D338" s="268">
        <v>0</v>
      </c>
      <c r="E338" s="268">
        <v>0</v>
      </c>
      <c r="F338" s="273">
        <v>0</v>
      </c>
      <c r="G338" s="269">
        <v>0</v>
      </c>
      <c r="H338" s="273">
        <v>105.944977</v>
      </c>
      <c r="I338" s="269">
        <f t="shared" si="38"/>
        <v>-1</v>
      </c>
      <c r="J338" s="273">
        <v>0</v>
      </c>
      <c r="K338" s="278"/>
    </row>
    <row r="339" ht="22" customHeight="1" spans="1:11">
      <c r="A339" s="270">
        <v>2130205</v>
      </c>
      <c r="B339" s="271" t="s">
        <v>560</v>
      </c>
      <c r="C339" s="268">
        <v>0</v>
      </c>
      <c r="D339" s="268">
        <v>0</v>
      </c>
      <c r="E339" s="268">
        <v>2384.9</v>
      </c>
      <c r="F339" s="273">
        <v>0</v>
      </c>
      <c r="G339" s="269">
        <v>0</v>
      </c>
      <c r="H339" s="273">
        <v>67.24</v>
      </c>
      <c r="I339" s="269">
        <f t="shared" si="38"/>
        <v>-1</v>
      </c>
      <c r="J339" s="273">
        <v>76.09364</v>
      </c>
      <c r="K339" s="278"/>
    </row>
    <row r="340" ht="22" customHeight="1" spans="1:11">
      <c r="A340" s="270">
        <v>2130206</v>
      </c>
      <c r="B340" s="271" t="s">
        <v>561</v>
      </c>
      <c r="C340" s="268">
        <v>0</v>
      </c>
      <c r="D340" s="268">
        <v>0</v>
      </c>
      <c r="E340" s="268">
        <v>0</v>
      </c>
      <c r="F340" s="273">
        <v>0</v>
      </c>
      <c r="G340" s="269">
        <v>0</v>
      </c>
      <c r="H340" s="273">
        <v>100</v>
      </c>
      <c r="I340" s="269">
        <f t="shared" si="38"/>
        <v>-1</v>
      </c>
      <c r="J340" s="273">
        <v>0</v>
      </c>
      <c r="K340" s="278"/>
    </row>
    <row r="341" ht="22" customHeight="1" spans="1:11">
      <c r="A341" s="270">
        <v>2130207</v>
      </c>
      <c r="B341" s="271" t="s">
        <v>562</v>
      </c>
      <c r="C341" s="268">
        <v>20</v>
      </c>
      <c r="D341" s="268">
        <v>60.137366</v>
      </c>
      <c r="E341" s="268">
        <v>106.68</v>
      </c>
      <c r="F341" s="273">
        <v>29.527418</v>
      </c>
      <c r="G341" s="269">
        <f>F341/D341</f>
        <v>0.490999522659506</v>
      </c>
      <c r="H341" s="273">
        <v>90.8</v>
      </c>
      <c r="I341" s="269">
        <f t="shared" si="38"/>
        <v>-0.674808171806167</v>
      </c>
      <c r="J341" s="273">
        <v>58.6</v>
      </c>
      <c r="K341" s="278"/>
    </row>
    <row r="342" ht="22" customHeight="1" spans="1:11">
      <c r="A342" s="270">
        <v>2130209</v>
      </c>
      <c r="B342" s="271" t="s">
        <v>563</v>
      </c>
      <c r="C342" s="268">
        <v>103.5</v>
      </c>
      <c r="D342" s="268">
        <v>110.4</v>
      </c>
      <c r="E342" s="268">
        <v>549.95</v>
      </c>
      <c r="F342" s="273">
        <v>110.4</v>
      </c>
      <c r="G342" s="269">
        <f>F342/D342</f>
        <v>1</v>
      </c>
      <c r="H342" s="273">
        <v>403.486641</v>
      </c>
      <c r="I342" s="269">
        <f t="shared" ref="I342:I351" si="39">(F342-H342)/H342</f>
        <v>-0.726384993251858</v>
      </c>
      <c r="J342" s="273">
        <v>544.95</v>
      </c>
      <c r="K342" s="278"/>
    </row>
    <row r="343" ht="22" customHeight="1" spans="1:11">
      <c r="A343" s="270">
        <v>2130211</v>
      </c>
      <c r="B343" s="271" t="s">
        <v>564</v>
      </c>
      <c r="C343" s="268">
        <v>0</v>
      </c>
      <c r="D343" s="268">
        <v>0</v>
      </c>
      <c r="E343" s="268">
        <v>0</v>
      </c>
      <c r="F343" s="273">
        <v>0</v>
      </c>
      <c r="G343" s="269">
        <v>0</v>
      </c>
      <c r="H343" s="273">
        <v>2</v>
      </c>
      <c r="I343" s="269">
        <f t="shared" si="39"/>
        <v>-1</v>
      </c>
      <c r="J343" s="273">
        <v>0</v>
      </c>
      <c r="K343" s="278"/>
    </row>
    <row r="344" ht="22" customHeight="1" spans="1:11">
      <c r="A344" s="270">
        <v>2130234</v>
      </c>
      <c r="B344" s="271" t="s">
        <v>565</v>
      </c>
      <c r="C344" s="268">
        <v>93.8</v>
      </c>
      <c r="D344" s="268">
        <v>153.8</v>
      </c>
      <c r="E344" s="268">
        <v>36</v>
      </c>
      <c r="F344" s="273">
        <v>82.14254</v>
      </c>
      <c r="G344" s="269">
        <f>F344/D344</f>
        <v>0.534086736020806</v>
      </c>
      <c r="H344" s="273">
        <v>80.64075</v>
      </c>
      <c r="I344" s="269">
        <f t="shared" si="39"/>
        <v>0.0186232146898435</v>
      </c>
      <c r="J344" s="273">
        <v>17.22</v>
      </c>
      <c r="K344" s="278"/>
    </row>
    <row r="345" ht="22" customHeight="1" spans="1:11">
      <c r="A345" s="270">
        <v>2130299</v>
      </c>
      <c r="B345" s="271" t="s">
        <v>566</v>
      </c>
      <c r="C345" s="268">
        <v>0</v>
      </c>
      <c r="D345" s="268">
        <v>0</v>
      </c>
      <c r="E345" s="268">
        <v>36.47</v>
      </c>
      <c r="F345" s="273">
        <v>0</v>
      </c>
      <c r="G345" s="269">
        <v>0</v>
      </c>
      <c r="H345" s="273">
        <v>4.894</v>
      </c>
      <c r="I345" s="269">
        <f t="shared" si="39"/>
        <v>-1</v>
      </c>
      <c r="J345" s="273">
        <v>33.496522</v>
      </c>
      <c r="K345" s="278"/>
    </row>
    <row r="346" ht="22" customHeight="1" spans="1:11">
      <c r="A346" s="270">
        <v>21303</v>
      </c>
      <c r="B346" s="271" t="s">
        <v>567</v>
      </c>
      <c r="C346" s="268">
        <v>1271.178322</v>
      </c>
      <c r="D346" s="268">
        <v>1423.811484</v>
      </c>
      <c r="E346" s="268">
        <v>1915.5</v>
      </c>
      <c r="F346" s="273">
        <v>1338.254009</v>
      </c>
      <c r="G346" s="269">
        <f>F346/D346</f>
        <v>0.939909548446935</v>
      </c>
      <c r="H346" s="273">
        <v>5498.932302</v>
      </c>
      <c r="I346" s="269">
        <f t="shared" si="39"/>
        <v>-0.756633845353348</v>
      </c>
      <c r="J346" s="273">
        <v>145.2719</v>
      </c>
      <c r="K346" s="278"/>
    </row>
    <row r="347" ht="22" customHeight="1" spans="1:11">
      <c r="A347" s="270">
        <v>2130301</v>
      </c>
      <c r="B347" s="271" t="s">
        <v>288</v>
      </c>
      <c r="C347" s="268">
        <v>1101.340822</v>
      </c>
      <c r="D347" s="268">
        <v>1230.033784</v>
      </c>
      <c r="E347" s="268">
        <v>0</v>
      </c>
      <c r="F347" s="273">
        <v>1213.340791</v>
      </c>
      <c r="G347" s="269">
        <f>F347/D347</f>
        <v>0.98642883373031</v>
      </c>
      <c r="H347" s="273">
        <v>1467.584802</v>
      </c>
      <c r="I347" s="269">
        <f t="shared" si="39"/>
        <v>-0.173239741004077</v>
      </c>
      <c r="J347" s="273">
        <v>0</v>
      </c>
      <c r="K347" s="278"/>
    </row>
    <row r="348" ht="22" customHeight="1" spans="1:11">
      <c r="A348" s="270">
        <v>2130302</v>
      </c>
      <c r="B348" s="271" t="s">
        <v>568</v>
      </c>
      <c r="C348" s="268">
        <v>0</v>
      </c>
      <c r="D348" s="268">
        <v>0</v>
      </c>
      <c r="E348" s="268">
        <v>0</v>
      </c>
      <c r="F348" s="273">
        <v>29.508777</v>
      </c>
      <c r="G348" s="269">
        <v>0</v>
      </c>
      <c r="H348" s="273">
        <v>0</v>
      </c>
      <c r="I348" s="269">
        <v>0</v>
      </c>
      <c r="J348" s="273">
        <v>0</v>
      </c>
      <c r="K348" s="278"/>
    </row>
    <row r="349" ht="22" customHeight="1" spans="1:11">
      <c r="A349" s="270">
        <v>2130304</v>
      </c>
      <c r="B349" s="283" t="s">
        <v>569</v>
      </c>
      <c r="C349" s="268">
        <v>105</v>
      </c>
      <c r="D349" s="268">
        <v>108.9402</v>
      </c>
      <c r="E349" s="268">
        <v>0</v>
      </c>
      <c r="F349" s="273">
        <v>93.566941</v>
      </c>
      <c r="G349" s="269">
        <f>F349/D349</f>
        <v>0.858883506731216</v>
      </c>
      <c r="H349" s="273">
        <v>10</v>
      </c>
      <c r="I349" s="269">
        <f>(F349-H349)/H349</f>
        <v>8.3566941</v>
      </c>
      <c r="J349" s="273">
        <v>0</v>
      </c>
      <c r="K349" s="278"/>
    </row>
    <row r="350" ht="22" customHeight="1" spans="1:11">
      <c r="A350" s="270">
        <v>2130305</v>
      </c>
      <c r="B350" s="271" t="s">
        <v>570</v>
      </c>
      <c r="C350" s="268">
        <v>0</v>
      </c>
      <c r="D350" s="268">
        <v>0</v>
      </c>
      <c r="E350" s="268">
        <v>1094</v>
      </c>
      <c r="F350" s="273">
        <v>0</v>
      </c>
      <c r="G350" s="269">
        <v>0</v>
      </c>
      <c r="H350" s="273">
        <v>1717</v>
      </c>
      <c r="I350" s="269">
        <f>(F350-H350)/H350</f>
        <v>-1</v>
      </c>
      <c r="J350" s="273">
        <v>110</v>
      </c>
      <c r="K350" s="278"/>
    </row>
    <row r="351" ht="22" customHeight="1" spans="1:11">
      <c r="A351" s="270">
        <v>2130306</v>
      </c>
      <c r="B351" s="271" t="s">
        <v>571</v>
      </c>
      <c r="C351" s="268">
        <v>0</v>
      </c>
      <c r="D351" s="268">
        <v>0</v>
      </c>
      <c r="E351" s="268">
        <v>265.5</v>
      </c>
      <c r="F351" s="273">
        <v>0</v>
      </c>
      <c r="G351" s="269">
        <v>0</v>
      </c>
      <c r="H351" s="273">
        <v>94.6</v>
      </c>
      <c r="I351" s="269">
        <f>(F351-H351)/H351</f>
        <v>-1</v>
      </c>
      <c r="J351" s="273">
        <v>29.4053</v>
      </c>
      <c r="K351" s="278"/>
    </row>
    <row r="352" ht="22" customHeight="1" spans="1:11">
      <c r="A352" s="270">
        <v>2130311</v>
      </c>
      <c r="B352" s="271" t="s">
        <v>572</v>
      </c>
      <c r="C352" s="268">
        <v>0</v>
      </c>
      <c r="D352" s="268">
        <v>0</v>
      </c>
      <c r="E352" s="268">
        <v>151</v>
      </c>
      <c r="F352" s="273">
        <v>0</v>
      </c>
      <c r="G352" s="269">
        <v>0</v>
      </c>
      <c r="H352" s="273">
        <v>0</v>
      </c>
      <c r="I352" s="269">
        <v>0</v>
      </c>
      <c r="J352" s="273">
        <v>5.8666</v>
      </c>
      <c r="K352" s="278"/>
    </row>
    <row r="353" ht="22" customHeight="1" spans="1:11">
      <c r="A353" s="270">
        <v>2130314</v>
      </c>
      <c r="B353" s="271" t="s">
        <v>573</v>
      </c>
      <c r="C353" s="268">
        <v>6.8375</v>
      </c>
      <c r="D353" s="268">
        <v>26.8375</v>
      </c>
      <c r="E353" s="268">
        <v>96</v>
      </c>
      <c r="F353" s="273">
        <v>1.8375</v>
      </c>
      <c r="G353" s="269">
        <f>F353/D353</f>
        <v>0.0684676292501164</v>
      </c>
      <c r="H353" s="273">
        <v>91.8375</v>
      </c>
      <c r="I353" s="269">
        <f>(F353-H353)/H353</f>
        <v>-0.979991833401388</v>
      </c>
      <c r="J353" s="273">
        <v>0</v>
      </c>
      <c r="K353" s="278"/>
    </row>
    <row r="354" ht="22" customHeight="1" spans="1:11">
      <c r="A354" s="270">
        <v>2130315</v>
      </c>
      <c r="B354" s="271" t="s">
        <v>574</v>
      </c>
      <c r="C354" s="268">
        <v>0</v>
      </c>
      <c r="D354" s="268">
        <v>0</v>
      </c>
      <c r="E354" s="268">
        <v>0</v>
      </c>
      <c r="F354" s="273">
        <v>0</v>
      </c>
      <c r="G354" s="269">
        <v>0</v>
      </c>
      <c r="H354" s="273">
        <v>40</v>
      </c>
      <c r="I354" s="269">
        <f>(F354-H354)/H354</f>
        <v>-1</v>
      </c>
      <c r="J354" s="273">
        <v>0</v>
      </c>
      <c r="K354" s="278"/>
    </row>
    <row r="355" ht="22" customHeight="1" spans="1:11">
      <c r="A355" s="270">
        <v>2130316</v>
      </c>
      <c r="B355" s="271" t="s">
        <v>575</v>
      </c>
      <c r="C355" s="268">
        <v>0</v>
      </c>
      <c r="D355" s="268">
        <v>0</v>
      </c>
      <c r="E355" s="268">
        <v>29</v>
      </c>
      <c r="F355" s="273">
        <v>0</v>
      </c>
      <c r="G355" s="269">
        <v>0</v>
      </c>
      <c r="H355" s="273">
        <v>0</v>
      </c>
      <c r="I355" s="269">
        <v>0</v>
      </c>
      <c r="J355" s="273">
        <v>0</v>
      </c>
      <c r="K355" s="278"/>
    </row>
    <row r="356" ht="22" customHeight="1" spans="1:11">
      <c r="A356" s="270">
        <v>2130319</v>
      </c>
      <c r="B356" s="271" t="s">
        <v>576</v>
      </c>
      <c r="C356" s="268">
        <v>0</v>
      </c>
      <c r="D356" s="268">
        <v>0</v>
      </c>
      <c r="E356" s="268">
        <v>280</v>
      </c>
      <c r="F356" s="273">
        <v>0</v>
      </c>
      <c r="G356" s="269">
        <v>0</v>
      </c>
      <c r="H356" s="273">
        <v>1960</v>
      </c>
      <c r="I356" s="269">
        <f>(F356-H356)/H356</f>
        <v>-1</v>
      </c>
      <c r="J356" s="273">
        <v>0</v>
      </c>
      <c r="K356" s="278"/>
    </row>
    <row r="357" ht="22" customHeight="1" spans="1:11">
      <c r="A357" s="270">
        <v>2130333</v>
      </c>
      <c r="B357" s="271" t="s">
        <v>577</v>
      </c>
      <c r="C357" s="268">
        <v>58</v>
      </c>
      <c r="D357" s="268">
        <v>58</v>
      </c>
      <c r="E357" s="268">
        <v>0</v>
      </c>
      <c r="F357" s="273">
        <v>0</v>
      </c>
      <c r="G357" s="269">
        <v>0</v>
      </c>
      <c r="H357" s="273">
        <v>0</v>
      </c>
      <c r="I357" s="269">
        <v>0</v>
      </c>
      <c r="J357" s="273">
        <v>0</v>
      </c>
      <c r="K357" s="278"/>
    </row>
    <row r="358" ht="22" customHeight="1" spans="1:11">
      <c r="A358" s="270">
        <v>2130399</v>
      </c>
      <c r="B358" s="271" t="s">
        <v>578</v>
      </c>
      <c r="C358" s="268">
        <v>0</v>
      </c>
      <c r="D358" s="268">
        <v>0</v>
      </c>
      <c r="E358" s="268">
        <v>0</v>
      </c>
      <c r="F358" s="273">
        <v>0</v>
      </c>
      <c r="G358" s="269">
        <v>0</v>
      </c>
      <c r="H358" s="273">
        <v>117.91</v>
      </c>
      <c r="I358" s="269">
        <f>(F358-H358)/H358</f>
        <v>-1</v>
      </c>
      <c r="J358" s="273">
        <v>0</v>
      </c>
      <c r="K358" s="278"/>
    </row>
    <row r="359" ht="22" customHeight="1" spans="1:11">
      <c r="A359" s="270">
        <v>21305</v>
      </c>
      <c r="B359" s="271" t="s">
        <v>579</v>
      </c>
      <c r="C359" s="268">
        <v>210</v>
      </c>
      <c r="D359" s="268">
        <v>210</v>
      </c>
      <c r="E359" s="268">
        <v>7120.4</v>
      </c>
      <c r="F359" s="273">
        <v>42.01</v>
      </c>
      <c r="G359" s="269">
        <f>F359/D359</f>
        <v>0.200047619047619</v>
      </c>
      <c r="H359" s="273">
        <v>597.233097</v>
      </c>
      <c r="I359" s="269">
        <f>(F359-H359)/H359</f>
        <v>-0.929658955253781</v>
      </c>
      <c r="J359" s="273">
        <v>6822</v>
      </c>
      <c r="K359" s="278"/>
    </row>
    <row r="360" ht="22" customHeight="1" spans="1:11">
      <c r="A360" s="274">
        <v>2130501</v>
      </c>
      <c r="B360" s="271" t="s">
        <v>288</v>
      </c>
      <c r="C360" s="268">
        <v>0</v>
      </c>
      <c r="D360" s="268">
        <v>0</v>
      </c>
      <c r="E360" s="268">
        <v>0</v>
      </c>
      <c r="F360" s="273">
        <v>0</v>
      </c>
      <c r="G360" s="269">
        <v>0</v>
      </c>
      <c r="H360" s="273">
        <v>35</v>
      </c>
      <c r="I360" s="269">
        <f>(F360-H360)/H360</f>
        <v>-1</v>
      </c>
      <c r="J360" s="273">
        <v>0</v>
      </c>
      <c r="K360" s="278"/>
    </row>
    <row r="361" ht="22" customHeight="1" spans="1:11">
      <c r="A361" s="270">
        <v>2130504</v>
      </c>
      <c r="B361" s="271" t="s">
        <v>580</v>
      </c>
      <c r="C361" s="268">
        <v>0</v>
      </c>
      <c r="D361" s="268">
        <v>0</v>
      </c>
      <c r="E361" s="268">
        <v>398.4</v>
      </c>
      <c r="F361" s="273">
        <v>0</v>
      </c>
      <c r="G361" s="269">
        <v>0</v>
      </c>
      <c r="H361" s="273">
        <v>0</v>
      </c>
      <c r="I361" s="269">
        <v>0</v>
      </c>
      <c r="J361" s="273">
        <v>100</v>
      </c>
      <c r="K361" s="278"/>
    </row>
    <row r="362" ht="22" customHeight="1" spans="1:11">
      <c r="A362" s="270">
        <v>2130505</v>
      </c>
      <c r="B362" s="271" t="s">
        <v>581</v>
      </c>
      <c r="C362" s="268">
        <v>210</v>
      </c>
      <c r="D362" s="268">
        <v>210</v>
      </c>
      <c r="E362" s="268">
        <v>5916</v>
      </c>
      <c r="F362" s="273">
        <v>42.01</v>
      </c>
      <c r="G362" s="269">
        <f>F362/D362</f>
        <v>0.200047619047619</v>
      </c>
      <c r="H362" s="273">
        <v>562.233097</v>
      </c>
      <c r="I362" s="269">
        <f>(F362-H362)/H362</f>
        <v>-0.925280101395383</v>
      </c>
      <c r="J362" s="273">
        <v>5916</v>
      </c>
      <c r="K362" s="278"/>
    </row>
    <row r="363" ht="22" customHeight="1" spans="1:11">
      <c r="A363" s="270">
        <v>2130599</v>
      </c>
      <c r="B363" s="271" t="s">
        <v>582</v>
      </c>
      <c r="C363" s="268">
        <v>0</v>
      </c>
      <c r="D363" s="268">
        <v>0</v>
      </c>
      <c r="E363" s="268">
        <v>806</v>
      </c>
      <c r="F363" s="273">
        <v>0</v>
      </c>
      <c r="G363" s="269">
        <v>0</v>
      </c>
      <c r="H363" s="273">
        <v>0</v>
      </c>
      <c r="I363" s="269">
        <v>0</v>
      </c>
      <c r="J363" s="273">
        <v>806</v>
      </c>
      <c r="K363" s="278"/>
    </row>
    <row r="364" ht="22" customHeight="1" spans="1:11">
      <c r="A364" s="270">
        <v>21307</v>
      </c>
      <c r="B364" s="271" t="s">
        <v>583</v>
      </c>
      <c r="C364" s="268">
        <v>295.92</v>
      </c>
      <c r="D364" s="268">
        <v>2794.685525</v>
      </c>
      <c r="E364" s="268">
        <v>3118.66</v>
      </c>
      <c r="F364" s="273">
        <v>2595.005306</v>
      </c>
      <c r="G364" s="269">
        <f>F364/D364</f>
        <v>0.928550022099535</v>
      </c>
      <c r="H364" s="273">
        <v>36.4758</v>
      </c>
      <c r="I364" s="269">
        <f>(F364-H364)/H364</f>
        <v>70.1432047001025</v>
      </c>
      <c r="J364" s="273">
        <v>582.4474</v>
      </c>
      <c r="K364" s="278"/>
    </row>
    <row r="365" ht="22" customHeight="1" spans="1:11">
      <c r="A365" s="270">
        <v>2130701</v>
      </c>
      <c r="B365" s="271" t="s">
        <v>584</v>
      </c>
      <c r="C365" s="268">
        <v>0</v>
      </c>
      <c r="D365" s="268">
        <v>10</v>
      </c>
      <c r="E365" s="268">
        <v>1325</v>
      </c>
      <c r="F365" s="273">
        <v>0</v>
      </c>
      <c r="G365" s="269">
        <f>F365/D365</f>
        <v>0</v>
      </c>
      <c r="H365" s="273">
        <v>0</v>
      </c>
      <c r="I365" s="269">
        <v>0</v>
      </c>
      <c r="J365" s="273">
        <v>382.4474</v>
      </c>
      <c r="K365" s="278"/>
    </row>
    <row r="366" ht="22" customHeight="1" spans="1:11">
      <c r="A366" s="270">
        <v>2130705</v>
      </c>
      <c r="B366" s="271" t="s">
        <v>585</v>
      </c>
      <c r="C366" s="268">
        <v>295.92</v>
      </c>
      <c r="D366" s="268">
        <v>2784.685525</v>
      </c>
      <c r="E366" s="268">
        <v>208.66</v>
      </c>
      <c r="F366" s="273">
        <v>2595.005306</v>
      </c>
      <c r="G366" s="269">
        <f>F366/D366</f>
        <v>0.931884510011234</v>
      </c>
      <c r="H366" s="273">
        <v>36.4758</v>
      </c>
      <c r="I366" s="269">
        <f>(F366-H366)/H366</f>
        <v>70.1432047001025</v>
      </c>
      <c r="J366" s="273">
        <v>0</v>
      </c>
      <c r="K366" s="278"/>
    </row>
    <row r="367" ht="22" customHeight="1" spans="1:11">
      <c r="A367" s="270">
        <v>2130706</v>
      </c>
      <c r="B367" s="271" t="s">
        <v>586</v>
      </c>
      <c r="C367" s="268">
        <v>0</v>
      </c>
      <c r="D367" s="268">
        <v>0</v>
      </c>
      <c r="E367" s="268">
        <v>1500</v>
      </c>
      <c r="F367" s="273">
        <v>0</v>
      </c>
      <c r="G367" s="269">
        <v>0</v>
      </c>
      <c r="H367" s="273">
        <v>0</v>
      </c>
      <c r="I367" s="269">
        <v>0</v>
      </c>
      <c r="J367" s="273">
        <v>188</v>
      </c>
      <c r="K367" s="278"/>
    </row>
    <row r="368" ht="22" customHeight="1" spans="1:11">
      <c r="A368" s="270">
        <v>2130799</v>
      </c>
      <c r="B368" s="271" t="s">
        <v>587</v>
      </c>
      <c r="C368" s="268">
        <v>0</v>
      </c>
      <c r="D368" s="268">
        <v>0</v>
      </c>
      <c r="E368" s="268">
        <v>85</v>
      </c>
      <c r="F368" s="273">
        <v>0</v>
      </c>
      <c r="G368" s="269">
        <v>0</v>
      </c>
      <c r="H368" s="273">
        <v>0</v>
      </c>
      <c r="I368" s="269">
        <v>0</v>
      </c>
      <c r="J368" s="273">
        <v>12</v>
      </c>
      <c r="K368" s="278"/>
    </row>
    <row r="369" ht="22" customHeight="1" spans="1:11">
      <c r="A369" s="270">
        <v>21308</v>
      </c>
      <c r="B369" s="271" t="s">
        <v>588</v>
      </c>
      <c r="C369" s="268">
        <v>175.8133</v>
      </c>
      <c r="D369" s="268">
        <v>178.5333</v>
      </c>
      <c r="E369" s="268">
        <v>825</v>
      </c>
      <c r="F369" s="273">
        <v>118.553649</v>
      </c>
      <c r="G369" s="269">
        <f>F369/D369</f>
        <v>0.664042220694963</v>
      </c>
      <c r="H369" s="273">
        <v>696.393651</v>
      </c>
      <c r="I369" s="269">
        <f>(F369-H369)/H369</f>
        <v>-0.829760583213588</v>
      </c>
      <c r="J369" s="273">
        <v>209.003029</v>
      </c>
      <c r="K369" s="278"/>
    </row>
    <row r="370" ht="22" customHeight="1" spans="1:11">
      <c r="A370" s="270">
        <v>2130801</v>
      </c>
      <c r="B370" s="271" t="s">
        <v>589</v>
      </c>
      <c r="C370" s="268">
        <v>30</v>
      </c>
      <c r="D370" s="268">
        <v>30</v>
      </c>
      <c r="E370" s="268">
        <v>0</v>
      </c>
      <c r="F370" s="273">
        <v>0</v>
      </c>
      <c r="G370" s="269">
        <f>F370/D370</f>
        <v>0</v>
      </c>
      <c r="H370" s="273">
        <v>543</v>
      </c>
      <c r="I370" s="269">
        <f>(F370-H370)/H370</f>
        <v>-1</v>
      </c>
      <c r="J370" s="273">
        <v>0</v>
      </c>
      <c r="K370" s="278"/>
    </row>
    <row r="371" ht="22" customHeight="1" spans="1:11">
      <c r="A371" s="270">
        <v>2130803</v>
      </c>
      <c r="B371" s="271" t="s">
        <v>590</v>
      </c>
      <c r="C371" s="268">
        <v>133.82</v>
      </c>
      <c r="D371" s="268">
        <v>133.82</v>
      </c>
      <c r="E371" s="268">
        <v>585</v>
      </c>
      <c r="F371" s="273">
        <v>105.4965</v>
      </c>
      <c r="G371" s="269">
        <f>F371/D371</f>
        <v>0.788346286055896</v>
      </c>
      <c r="H371" s="273">
        <v>144.010625</v>
      </c>
      <c r="I371" s="269">
        <f t="shared" ref="I371:I393" si="40">(F371-H371)/H371</f>
        <v>-0.267439468441999</v>
      </c>
      <c r="J371" s="273">
        <v>0</v>
      </c>
      <c r="K371" s="278"/>
    </row>
    <row r="372" ht="22" customHeight="1" spans="1:11">
      <c r="A372" s="270">
        <v>2130804</v>
      </c>
      <c r="B372" s="271" t="s">
        <v>591</v>
      </c>
      <c r="C372" s="268">
        <v>11.9933</v>
      </c>
      <c r="D372" s="268">
        <v>14.7133</v>
      </c>
      <c r="E372" s="268">
        <v>240</v>
      </c>
      <c r="F372" s="273">
        <v>13.057149</v>
      </c>
      <c r="G372" s="269">
        <f>F372/D372</f>
        <v>0.887438508016556</v>
      </c>
      <c r="H372" s="273">
        <v>9.383026</v>
      </c>
      <c r="I372" s="269">
        <f t="shared" si="40"/>
        <v>0.39157122659577</v>
      </c>
      <c r="J372" s="273">
        <v>209.003029</v>
      </c>
      <c r="K372" s="278"/>
    </row>
    <row r="373" ht="22" customHeight="1" spans="1:11">
      <c r="A373" s="270">
        <v>21399</v>
      </c>
      <c r="B373" s="271" t="s">
        <v>592</v>
      </c>
      <c r="C373" s="268">
        <v>0</v>
      </c>
      <c r="D373" s="268">
        <v>0</v>
      </c>
      <c r="E373" s="268">
        <v>120.7</v>
      </c>
      <c r="F373" s="273">
        <v>0</v>
      </c>
      <c r="G373" s="269">
        <v>0</v>
      </c>
      <c r="H373" s="273">
        <v>0</v>
      </c>
      <c r="I373" s="269">
        <v>0</v>
      </c>
      <c r="J373" s="273">
        <v>0</v>
      </c>
      <c r="K373" s="278"/>
    </row>
    <row r="374" ht="22" customHeight="1" spans="1:11">
      <c r="A374" s="270">
        <v>2139999</v>
      </c>
      <c r="B374" s="271" t="s">
        <v>593</v>
      </c>
      <c r="C374" s="268">
        <v>0</v>
      </c>
      <c r="D374" s="268">
        <v>0</v>
      </c>
      <c r="E374" s="268">
        <v>120.7</v>
      </c>
      <c r="F374" s="273">
        <v>0</v>
      </c>
      <c r="G374" s="269">
        <v>0</v>
      </c>
      <c r="H374" s="273">
        <v>0</v>
      </c>
      <c r="I374" s="269">
        <v>0</v>
      </c>
      <c r="J374" s="273">
        <v>0</v>
      </c>
      <c r="K374" s="278"/>
    </row>
    <row r="375" ht="22" customHeight="1" spans="1:11">
      <c r="A375" s="270">
        <v>214</v>
      </c>
      <c r="B375" s="271" t="s">
        <v>594</v>
      </c>
      <c r="C375" s="268">
        <v>1674.997536</v>
      </c>
      <c r="D375" s="268">
        <v>1601.095816</v>
      </c>
      <c r="E375" s="268">
        <v>3559.428228</v>
      </c>
      <c r="F375" s="273">
        <v>1523.501357</v>
      </c>
      <c r="G375" s="269">
        <f>F375/D375</f>
        <v>0.951536654943079</v>
      </c>
      <c r="H375" s="273">
        <v>4996.030047</v>
      </c>
      <c r="I375" s="269">
        <f>(F375-H375)/H375</f>
        <v>-0.69505760720658</v>
      </c>
      <c r="J375" s="273">
        <f>J376+J382+J386</f>
        <v>3275.07</v>
      </c>
      <c r="K375" s="278"/>
    </row>
    <row r="376" ht="22" customHeight="1" spans="1:11">
      <c r="A376" s="270">
        <v>21401</v>
      </c>
      <c r="B376" s="271" t="s">
        <v>595</v>
      </c>
      <c r="C376" s="268">
        <v>1674.997536</v>
      </c>
      <c r="D376" s="268">
        <v>1601.095816</v>
      </c>
      <c r="E376" s="268">
        <v>2218.788228</v>
      </c>
      <c r="F376" s="273">
        <v>1523.501357</v>
      </c>
      <c r="G376" s="269">
        <f>F376/D376</f>
        <v>0.951536654943079</v>
      </c>
      <c r="H376" s="273">
        <v>4217.410047</v>
      </c>
      <c r="I376" s="269">
        <f>(F376-H376)/H376</f>
        <v>-0.638759015599225</v>
      </c>
      <c r="J376" s="273">
        <f>SUM(J377:J381)</f>
        <v>3275.07</v>
      </c>
      <c r="K376" s="278"/>
    </row>
    <row r="377" ht="22" customHeight="1" spans="1:11">
      <c r="A377" s="270">
        <v>2140101</v>
      </c>
      <c r="B377" s="271" t="s">
        <v>288</v>
      </c>
      <c r="C377" s="268">
        <v>657.070872</v>
      </c>
      <c r="D377" s="268">
        <v>579.191332</v>
      </c>
      <c r="E377" s="268">
        <v>0</v>
      </c>
      <c r="F377" s="273">
        <v>570.045622</v>
      </c>
      <c r="G377" s="269">
        <f>F377/D377</f>
        <v>0.984209518522283</v>
      </c>
      <c r="H377" s="273">
        <v>881.193534</v>
      </c>
      <c r="I377" s="269">
        <f>(F377-H377)/H377</f>
        <v>-0.353098269556753</v>
      </c>
      <c r="J377" s="273">
        <v>0</v>
      </c>
      <c r="K377" s="278"/>
    </row>
    <row r="378" ht="22" customHeight="1" spans="1:11">
      <c r="A378" s="270">
        <v>2140104</v>
      </c>
      <c r="B378" s="271" t="s">
        <v>596</v>
      </c>
      <c r="C378" s="268">
        <v>0</v>
      </c>
      <c r="D378" s="268">
        <v>0</v>
      </c>
      <c r="E378" s="268">
        <v>0</v>
      </c>
      <c r="F378" s="273">
        <v>300</v>
      </c>
      <c r="G378" s="269">
        <v>0</v>
      </c>
      <c r="H378" s="273">
        <v>0</v>
      </c>
      <c r="I378" s="269">
        <v>0</v>
      </c>
      <c r="J378" s="273">
        <v>0</v>
      </c>
      <c r="K378" s="278"/>
    </row>
    <row r="379" ht="22" customHeight="1" spans="1:11">
      <c r="A379" s="270">
        <v>2140106</v>
      </c>
      <c r="B379" s="271" t="s">
        <v>597</v>
      </c>
      <c r="C379" s="268">
        <v>449.2575</v>
      </c>
      <c r="D379" s="268">
        <v>449.2575</v>
      </c>
      <c r="E379" s="268">
        <v>184.988228</v>
      </c>
      <c r="F379" s="273">
        <v>93.327852</v>
      </c>
      <c r="G379" s="269">
        <f>F379/D379</f>
        <v>0.207737994357356</v>
      </c>
      <c r="H379" s="273">
        <v>2786.28</v>
      </c>
      <c r="I379" s="269">
        <f t="shared" ref="I379:I384" si="41">(F379-H379)/H379</f>
        <v>-0.966504496317671</v>
      </c>
      <c r="J379" s="273">
        <v>3101.37</v>
      </c>
      <c r="K379" s="278"/>
    </row>
    <row r="380" ht="22" customHeight="1" spans="1:11">
      <c r="A380" s="270">
        <v>2140112</v>
      </c>
      <c r="B380" s="271" t="s">
        <v>598</v>
      </c>
      <c r="C380" s="268">
        <v>401.526108</v>
      </c>
      <c r="D380" s="268">
        <v>405.603328</v>
      </c>
      <c r="E380" s="268">
        <v>0</v>
      </c>
      <c r="F380" s="273">
        <v>393.624153</v>
      </c>
      <c r="G380" s="269">
        <f>F380/D380</f>
        <v>0.970465787203797</v>
      </c>
      <c r="H380" s="273">
        <v>392.694353</v>
      </c>
      <c r="I380" s="269">
        <f t="shared" si="41"/>
        <v>0.00236774476866491</v>
      </c>
      <c r="J380" s="273">
        <v>0</v>
      </c>
      <c r="K380" s="278"/>
    </row>
    <row r="381" ht="22" customHeight="1" spans="1:11">
      <c r="A381" s="270">
        <v>2140199</v>
      </c>
      <c r="B381" s="283" t="s">
        <v>599</v>
      </c>
      <c r="C381" s="268">
        <v>167.143056</v>
      </c>
      <c r="D381" s="268">
        <v>167.043656</v>
      </c>
      <c r="E381" s="268">
        <v>2033.8</v>
      </c>
      <c r="F381" s="273">
        <v>166.50373</v>
      </c>
      <c r="G381" s="269">
        <f>F381/D381</f>
        <v>0.99676775513103</v>
      </c>
      <c r="H381" s="273">
        <v>157.24216</v>
      </c>
      <c r="I381" s="269">
        <f t="shared" si="41"/>
        <v>0.0589000430927684</v>
      </c>
      <c r="J381" s="273">
        <v>173.7</v>
      </c>
      <c r="K381" s="278"/>
    </row>
    <row r="382" ht="22" customHeight="1" spans="1:11">
      <c r="A382" s="270">
        <v>21404</v>
      </c>
      <c r="B382" s="271" t="s">
        <v>600</v>
      </c>
      <c r="C382" s="268">
        <v>0</v>
      </c>
      <c r="D382" s="268">
        <v>0</v>
      </c>
      <c r="E382" s="268">
        <v>540.94</v>
      </c>
      <c r="F382" s="273">
        <v>0</v>
      </c>
      <c r="G382" s="269">
        <v>0</v>
      </c>
      <c r="H382" s="273">
        <v>615.42</v>
      </c>
      <c r="I382" s="269">
        <f t="shared" si="41"/>
        <v>-1</v>
      </c>
      <c r="J382" s="273">
        <v>0</v>
      </c>
      <c r="K382" s="278"/>
    </row>
    <row r="383" ht="22" customHeight="1" spans="1:11">
      <c r="A383" s="270">
        <v>2140402</v>
      </c>
      <c r="B383" s="271" t="s">
        <v>601</v>
      </c>
      <c r="C383" s="268">
        <v>0</v>
      </c>
      <c r="D383" s="268">
        <v>0</v>
      </c>
      <c r="E383" s="268">
        <v>339.61</v>
      </c>
      <c r="F383" s="273">
        <v>0</v>
      </c>
      <c r="G383" s="269">
        <v>0</v>
      </c>
      <c r="H383" s="273">
        <v>405.61</v>
      </c>
      <c r="I383" s="269">
        <f t="shared" si="41"/>
        <v>-1</v>
      </c>
      <c r="J383" s="273">
        <v>0</v>
      </c>
      <c r="K383" s="278"/>
    </row>
    <row r="384" ht="22" customHeight="1" spans="1:11">
      <c r="A384" s="270">
        <v>2140403</v>
      </c>
      <c r="B384" s="271" t="s">
        <v>602</v>
      </c>
      <c r="C384" s="268">
        <v>0</v>
      </c>
      <c r="D384" s="268">
        <v>0</v>
      </c>
      <c r="E384" s="268">
        <v>182.13</v>
      </c>
      <c r="F384" s="273">
        <v>0</v>
      </c>
      <c r="G384" s="269">
        <v>0</v>
      </c>
      <c r="H384" s="273">
        <v>209.81</v>
      </c>
      <c r="I384" s="269">
        <f t="shared" si="41"/>
        <v>-1</v>
      </c>
      <c r="J384" s="273">
        <v>0</v>
      </c>
      <c r="K384" s="278"/>
    </row>
    <row r="385" ht="22" customHeight="1" spans="1:11">
      <c r="A385" s="270">
        <v>2140499</v>
      </c>
      <c r="B385" s="271" t="s">
        <v>603</v>
      </c>
      <c r="C385" s="268">
        <v>0</v>
      </c>
      <c r="D385" s="268">
        <v>0</v>
      </c>
      <c r="E385" s="268">
        <v>19.2</v>
      </c>
      <c r="F385" s="273">
        <v>0</v>
      </c>
      <c r="G385" s="269">
        <v>0</v>
      </c>
      <c r="H385" s="273">
        <v>0</v>
      </c>
      <c r="I385" s="269">
        <v>0</v>
      </c>
      <c r="J385" s="273">
        <v>0</v>
      </c>
      <c r="K385" s="278"/>
    </row>
    <row r="386" ht="22" customHeight="1" spans="1:11">
      <c r="A386" s="270">
        <v>21406</v>
      </c>
      <c r="B386" s="271" t="s">
        <v>604</v>
      </c>
      <c r="C386" s="268">
        <v>0</v>
      </c>
      <c r="D386" s="268">
        <v>0</v>
      </c>
      <c r="E386" s="268">
        <v>799.7</v>
      </c>
      <c r="F386" s="273">
        <v>0</v>
      </c>
      <c r="G386" s="269">
        <v>0</v>
      </c>
      <c r="H386" s="273">
        <v>163.2</v>
      </c>
      <c r="I386" s="269">
        <f>(F386-H386)/H386</f>
        <v>-1</v>
      </c>
      <c r="J386" s="273">
        <v>0</v>
      </c>
      <c r="K386" s="278"/>
    </row>
    <row r="387" ht="22" customHeight="1" spans="1:11">
      <c r="A387" s="270">
        <v>2140601</v>
      </c>
      <c r="B387" s="271" t="s">
        <v>605</v>
      </c>
      <c r="C387" s="268">
        <v>0</v>
      </c>
      <c r="D387" s="268">
        <v>0</v>
      </c>
      <c r="E387" s="268">
        <v>799.7</v>
      </c>
      <c r="F387" s="273">
        <v>0</v>
      </c>
      <c r="G387" s="269">
        <v>0</v>
      </c>
      <c r="H387" s="273">
        <v>0</v>
      </c>
      <c r="I387" s="269">
        <v>0</v>
      </c>
      <c r="J387" s="273">
        <v>0</v>
      </c>
      <c r="K387" s="278"/>
    </row>
    <row r="388" ht="22" customHeight="1" spans="1:11">
      <c r="A388" s="270">
        <v>2140602</v>
      </c>
      <c r="B388" s="271" t="s">
        <v>606</v>
      </c>
      <c r="C388" s="268">
        <v>0</v>
      </c>
      <c r="D388" s="268">
        <v>0</v>
      </c>
      <c r="E388" s="268">
        <v>0</v>
      </c>
      <c r="F388" s="273">
        <v>0</v>
      </c>
      <c r="G388" s="269">
        <v>0</v>
      </c>
      <c r="H388" s="273">
        <v>163.2</v>
      </c>
      <c r="I388" s="269">
        <f>(F388-H388)/H388</f>
        <v>-1</v>
      </c>
      <c r="J388" s="273">
        <v>0</v>
      </c>
      <c r="K388" s="278"/>
    </row>
    <row r="389" ht="22" customHeight="1" spans="1:11">
      <c r="A389" s="270">
        <v>215</v>
      </c>
      <c r="B389" s="271" t="s">
        <v>607</v>
      </c>
      <c r="C389" s="268">
        <f>1401.902133+2785+1110</f>
        <v>5296.902133</v>
      </c>
      <c r="D389" s="268">
        <f>4344.097928+2785+1110</f>
        <v>8239.097928</v>
      </c>
      <c r="E389" s="268">
        <v>5121.4143</v>
      </c>
      <c r="F389" s="273">
        <v>6380.544861</v>
      </c>
      <c r="G389" s="269">
        <f>F389/D389</f>
        <v>0.774422748310366</v>
      </c>
      <c r="H389" s="273">
        <v>1221.155863</v>
      </c>
      <c r="I389" s="269">
        <f>(F389-H389)/H389</f>
        <v>4.22500448495165</v>
      </c>
      <c r="J389" s="273">
        <v>2760.0706</v>
      </c>
      <c r="K389" s="278"/>
    </row>
    <row r="390" ht="22" customHeight="1" spans="1:11">
      <c r="A390" s="270">
        <v>21501</v>
      </c>
      <c r="B390" s="271" t="s">
        <v>608</v>
      </c>
      <c r="C390" s="268">
        <f>223.35+2785</f>
        <v>3008.35</v>
      </c>
      <c r="D390" s="268">
        <f>225.2093+2785</f>
        <v>3010.2093</v>
      </c>
      <c r="E390" s="268">
        <v>310</v>
      </c>
      <c r="F390" s="273">
        <v>2749.178334</v>
      </c>
      <c r="G390" s="269">
        <f>F390/D390</f>
        <v>0.913284778570048</v>
      </c>
      <c r="H390" s="273">
        <v>0</v>
      </c>
      <c r="I390" s="269">
        <v>0</v>
      </c>
      <c r="J390" s="273">
        <v>231</v>
      </c>
      <c r="K390" s="278"/>
    </row>
    <row r="391" ht="22" customHeight="1" spans="1:11">
      <c r="A391" s="270">
        <v>2150101</v>
      </c>
      <c r="B391" s="271" t="s">
        <v>609</v>
      </c>
      <c r="C391" s="268">
        <v>223.35</v>
      </c>
      <c r="D391" s="268">
        <v>225.2093</v>
      </c>
      <c r="E391" s="268">
        <v>0</v>
      </c>
      <c r="F391" s="273">
        <v>224.178334</v>
      </c>
      <c r="G391" s="269">
        <f>F391/D391</f>
        <v>0.995422187272018</v>
      </c>
      <c r="H391" s="273">
        <v>0</v>
      </c>
      <c r="I391" s="269">
        <v>0</v>
      </c>
      <c r="J391" s="273">
        <v>0</v>
      </c>
      <c r="K391" s="278"/>
    </row>
    <row r="392" ht="22" customHeight="1" spans="1:11">
      <c r="A392" s="270">
        <v>2150104</v>
      </c>
      <c r="B392" s="271" t="s">
        <v>610</v>
      </c>
      <c r="C392" s="268">
        <v>2785</v>
      </c>
      <c r="D392" s="268">
        <v>2785</v>
      </c>
      <c r="E392" s="268">
        <v>310</v>
      </c>
      <c r="F392" s="273">
        <v>2525</v>
      </c>
      <c r="G392" s="269">
        <f>F392/D392</f>
        <v>0.906642728904847</v>
      </c>
      <c r="H392" s="273">
        <v>0</v>
      </c>
      <c r="I392" s="269">
        <v>0</v>
      </c>
      <c r="J392" s="273">
        <v>231</v>
      </c>
      <c r="K392" s="278"/>
    </row>
    <row r="393" ht="22" customHeight="1" spans="1:11">
      <c r="A393" s="270">
        <v>21502</v>
      </c>
      <c r="B393" s="271" t="s">
        <v>611</v>
      </c>
      <c r="C393" s="268">
        <v>0</v>
      </c>
      <c r="D393" s="268">
        <v>0</v>
      </c>
      <c r="E393" s="268">
        <v>0</v>
      </c>
      <c r="F393" s="273">
        <v>0</v>
      </c>
      <c r="G393" s="269">
        <v>0</v>
      </c>
      <c r="H393" s="273">
        <v>250</v>
      </c>
      <c r="I393" s="269">
        <f t="shared" ref="I392:I398" si="42">(F393-H393)/H393</f>
        <v>-1</v>
      </c>
      <c r="J393" s="273">
        <v>0</v>
      </c>
      <c r="K393" s="278"/>
    </row>
    <row r="394" ht="22" customHeight="1" spans="1:11">
      <c r="A394" s="270">
        <v>2150205</v>
      </c>
      <c r="B394" s="271" t="s">
        <v>612</v>
      </c>
      <c r="C394" s="268">
        <v>0</v>
      </c>
      <c r="D394" s="268">
        <v>0</v>
      </c>
      <c r="E394" s="268">
        <v>0</v>
      </c>
      <c r="F394" s="273">
        <v>0</v>
      </c>
      <c r="G394" s="269">
        <v>0</v>
      </c>
      <c r="H394" s="273">
        <v>250</v>
      </c>
      <c r="I394" s="269">
        <f t="shared" si="42"/>
        <v>-1</v>
      </c>
      <c r="J394" s="273">
        <v>0</v>
      </c>
      <c r="K394" s="278"/>
    </row>
    <row r="395" ht="22" customHeight="1" spans="1:11">
      <c r="A395" s="270">
        <v>21505</v>
      </c>
      <c r="B395" s="271" t="s">
        <v>613</v>
      </c>
      <c r="C395" s="268">
        <f>588.552133+1110</f>
        <v>1698.552133</v>
      </c>
      <c r="D395" s="268">
        <f>3028.888628+1110</f>
        <v>4138.888628</v>
      </c>
      <c r="E395" s="268">
        <v>4531.6143</v>
      </c>
      <c r="F395" s="273">
        <v>3556.366527</v>
      </c>
      <c r="G395" s="269">
        <f>F395/D395</f>
        <v>0.859256396255947</v>
      </c>
      <c r="H395" s="273">
        <v>929.105863</v>
      </c>
      <c r="I395" s="269">
        <f t="shared" si="42"/>
        <v>2.82773015285557</v>
      </c>
      <c r="J395" s="273">
        <v>2379.2706</v>
      </c>
      <c r="K395" s="278"/>
    </row>
    <row r="396" ht="22" customHeight="1" spans="1:11">
      <c r="A396" s="270">
        <v>2150501</v>
      </c>
      <c r="B396" s="271" t="s">
        <v>288</v>
      </c>
      <c r="C396" s="268">
        <v>573.552133</v>
      </c>
      <c r="D396" s="268">
        <v>622.022928</v>
      </c>
      <c r="E396" s="268">
        <v>0</v>
      </c>
      <c r="F396" s="273">
        <v>541.427186</v>
      </c>
      <c r="G396" s="269">
        <f>F396/D396</f>
        <v>0.870429628278911</v>
      </c>
      <c r="H396" s="273">
        <v>916.405863</v>
      </c>
      <c r="I396" s="269">
        <f t="shared" si="42"/>
        <v>-0.409184065859692</v>
      </c>
      <c r="J396" s="273">
        <v>0</v>
      </c>
      <c r="K396" s="278"/>
    </row>
    <row r="397" ht="22" customHeight="1" spans="1:11">
      <c r="A397" s="270">
        <v>2150502</v>
      </c>
      <c r="B397" s="271" t="s">
        <v>294</v>
      </c>
      <c r="C397" s="268">
        <v>0</v>
      </c>
      <c r="D397" s="268">
        <v>2.7</v>
      </c>
      <c r="E397" s="268">
        <v>0</v>
      </c>
      <c r="F397" s="273">
        <v>2.7</v>
      </c>
      <c r="G397" s="269">
        <f>F397/D397</f>
        <v>1</v>
      </c>
      <c r="H397" s="273">
        <v>0</v>
      </c>
      <c r="I397" s="269">
        <v>0</v>
      </c>
      <c r="J397" s="273">
        <v>0</v>
      </c>
      <c r="K397" s="278"/>
    </row>
    <row r="398" ht="22" customHeight="1" spans="1:11">
      <c r="A398" s="274">
        <v>2150506</v>
      </c>
      <c r="B398" s="271" t="s">
        <v>614</v>
      </c>
      <c r="C398" s="272">
        <v>0</v>
      </c>
      <c r="D398" s="268">
        <v>0</v>
      </c>
      <c r="E398" s="268">
        <v>0</v>
      </c>
      <c r="F398" s="273">
        <v>0</v>
      </c>
      <c r="G398" s="269">
        <v>0</v>
      </c>
      <c r="H398" s="273">
        <v>12.7</v>
      </c>
      <c r="I398" s="269">
        <f t="shared" si="42"/>
        <v>-1</v>
      </c>
      <c r="J398" s="273">
        <v>0</v>
      </c>
      <c r="K398" s="278"/>
    </row>
    <row r="399" ht="22" customHeight="1" spans="1:11">
      <c r="A399" s="274">
        <v>2150508</v>
      </c>
      <c r="B399" s="271" t="s">
        <v>615</v>
      </c>
      <c r="C399" s="272">
        <v>15</v>
      </c>
      <c r="D399" s="268">
        <v>60.3697</v>
      </c>
      <c r="E399" s="268">
        <v>0</v>
      </c>
      <c r="F399" s="273">
        <v>20.292941</v>
      </c>
      <c r="G399" s="269">
        <f t="shared" ref="G399:G406" si="43">F399/D399</f>
        <v>0.336144473138015</v>
      </c>
      <c r="H399" s="273">
        <v>0</v>
      </c>
      <c r="I399" s="269">
        <v>0</v>
      </c>
      <c r="J399" s="273">
        <v>0</v>
      </c>
      <c r="K399" s="278"/>
    </row>
    <row r="400" ht="22" customHeight="1" spans="1:11">
      <c r="A400" s="270">
        <v>2150510</v>
      </c>
      <c r="B400" s="271" t="s">
        <v>616</v>
      </c>
      <c r="C400" s="268">
        <v>1110</v>
      </c>
      <c r="D400" s="268">
        <v>1110</v>
      </c>
      <c r="E400" s="268">
        <v>0</v>
      </c>
      <c r="F400" s="273">
        <v>0</v>
      </c>
      <c r="G400" s="269">
        <f t="shared" si="43"/>
        <v>0</v>
      </c>
      <c r="H400" s="273">
        <v>0</v>
      </c>
      <c r="I400" s="269">
        <v>0</v>
      </c>
      <c r="J400" s="273">
        <v>0</v>
      </c>
      <c r="K400" s="278"/>
    </row>
    <row r="401" ht="22" customHeight="1" spans="1:11">
      <c r="A401" s="270">
        <v>2150517</v>
      </c>
      <c r="B401" s="271" t="s">
        <v>617</v>
      </c>
      <c r="C401" s="268">
        <v>0</v>
      </c>
      <c r="D401" s="268">
        <v>2343.796</v>
      </c>
      <c r="E401" s="268">
        <v>4531.6143</v>
      </c>
      <c r="F401" s="273">
        <v>2991.9464</v>
      </c>
      <c r="G401" s="269">
        <f t="shared" si="43"/>
        <v>1.27653874313293</v>
      </c>
      <c r="H401" s="273">
        <v>0</v>
      </c>
      <c r="I401" s="269">
        <v>0</v>
      </c>
      <c r="J401" s="273">
        <v>2379.2706</v>
      </c>
      <c r="K401" s="278"/>
    </row>
    <row r="402" ht="22" customHeight="1" spans="1:11">
      <c r="A402" s="270">
        <v>21508</v>
      </c>
      <c r="B402" s="271" t="s">
        <v>614</v>
      </c>
      <c r="C402" s="268">
        <v>590</v>
      </c>
      <c r="D402" s="268">
        <v>1090</v>
      </c>
      <c r="E402" s="268">
        <v>279.8</v>
      </c>
      <c r="F402" s="273">
        <v>75</v>
      </c>
      <c r="G402" s="269">
        <f t="shared" si="43"/>
        <v>0.0688073394495413</v>
      </c>
      <c r="H402" s="273">
        <v>42.05</v>
      </c>
      <c r="I402" s="269">
        <f>(F402-H402)/H402</f>
        <v>0.78359096313912</v>
      </c>
      <c r="J402" s="273">
        <v>149.8</v>
      </c>
      <c r="K402" s="278"/>
    </row>
    <row r="403" ht="22" customHeight="1" spans="1:11">
      <c r="A403" s="270">
        <v>2150805</v>
      </c>
      <c r="B403" s="271" t="s">
        <v>618</v>
      </c>
      <c r="C403" s="268">
        <v>590</v>
      </c>
      <c r="D403" s="268">
        <v>1090</v>
      </c>
      <c r="E403" s="268">
        <v>279.8</v>
      </c>
      <c r="F403" s="273">
        <v>75</v>
      </c>
      <c r="G403" s="269">
        <f t="shared" si="43"/>
        <v>0.0688073394495413</v>
      </c>
      <c r="H403" s="273">
        <v>42.05</v>
      </c>
      <c r="I403" s="269">
        <f>(F403-H403)/H403</f>
        <v>0.78359096313912</v>
      </c>
      <c r="J403" s="273">
        <v>149.8</v>
      </c>
      <c r="K403" s="278"/>
    </row>
    <row r="404" ht="22" customHeight="1" spans="1:11">
      <c r="A404" s="270">
        <v>216</v>
      </c>
      <c r="B404" s="271" t="s">
        <v>619</v>
      </c>
      <c r="C404" s="268">
        <v>129.200145</v>
      </c>
      <c r="D404" s="268">
        <v>157.94295</v>
      </c>
      <c r="E404" s="268">
        <v>1637.18</v>
      </c>
      <c r="F404" s="273">
        <v>164.038414</v>
      </c>
      <c r="G404" s="269">
        <f t="shared" si="43"/>
        <v>1.03859282101544</v>
      </c>
      <c r="H404" s="273">
        <v>324.707659</v>
      </c>
      <c r="I404" s="269">
        <f>(F404-H404)/H404</f>
        <v>-0.494811996411825</v>
      </c>
      <c r="J404" s="273">
        <v>181.8282</v>
      </c>
      <c r="K404" s="278"/>
    </row>
    <row r="405" ht="22" customHeight="1" spans="1:11">
      <c r="A405" s="270">
        <v>21602</v>
      </c>
      <c r="B405" s="271" t="s">
        <v>620</v>
      </c>
      <c r="C405" s="268">
        <v>129.200145</v>
      </c>
      <c r="D405" s="268">
        <v>157.94295</v>
      </c>
      <c r="E405" s="268">
        <v>547.94</v>
      </c>
      <c r="F405" s="273">
        <v>164.038414</v>
      </c>
      <c r="G405" s="269">
        <f t="shared" si="43"/>
        <v>1.03859282101544</v>
      </c>
      <c r="H405" s="273">
        <v>324.707659</v>
      </c>
      <c r="I405" s="269">
        <f>(F405-H405)/H405</f>
        <v>-0.494811996411825</v>
      </c>
      <c r="J405" s="273">
        <v>0.3</v>
      </c>
      <c r="K405" s="278"/>
    </row>
    <row r="406" ht="22" customHeight="1" spans="1:11">
      <c r="A406" s="270">
        <v>2160201</v>
      </c>
      <c r="B406" s="271" t="s">
        <v>288</v>
      </c>
      <c r="C406" s="268">
        <v>129.200145</v>
      </c>
      <c r="D406" s="268">
        <v>157.94295</v>
      </c>
      <c r="E406" s="268">
        <v>0</v>
      </c>
      <c r="F406" s="273">
        <v>164.038414</v>
      </c>
      <c r="G406" s="269">
        <f t="shared" si="43"/>
        <v>1.03859282101544</v>
      </c>
      <c r="H406" s="273">
        <v>206.869859</v>
      </c>
      <c r="I406" s="269">
        <f>(F406-H406)/H406</f>
        <v>-0.207045362756302</v>
      </c>
      <c r="J406" s="273">
        <v>0</v>
      </c>
      <c r="K406" s="278"/>
    </row>
    <row r="407" ht="22" customHeight="1" spans="1:11">
      <c r="A407" s="270">
        <v>2160217</v>
      </c>
      <c r="B407" s="271" t="s">
        <v>621</v>
      </c>
      <c r="C407" s="268">
        <v>0</v>
      </c>
      <c r="D407" s="268">
        <v>0</v>
      </c>
      <c r="E407" s="268">
        <v>0.3</v>
      </c>
      <c r="F407" s="273">
        <v>0</v>
      </c>
      <c r="G407" s="269">
        <v>0</v>
      </c>
      <c r="H407" s="273">
        <v>0</v>
      </c>
      <c r="I407" s="269">
        <v>0</v>
      </c>
      <c r="J407" s="273">
        <v>0.3</v>
      </c>
      <c r="K407" s="278"/>
    </row>
    <row r="408" ht="22" customHeight="1" spans="1:11">
      <c r="A408" s="270">
        <v>2160219</v>
      </c>
      <c r="B408" s="271" t="s">
        <v>622</v>
      </c>
      <c r="C408" s="268">
        <v>0</v>
      </c>
      <c r="D408" s="268">
        <v>0</v>
      </c>
      <c r="E408" s="268">
        <v>544.91</v>
      </c>
      <c r="F408" s="273">
        <v>0</v>
      </c>
      <c r="G408" s="269">
        <v>0</v>
      </c>
      <c r="H408" s="273">
        <v>117.8378</v>
      </c>
      <c r="I408" s="269">
        <f>(F408-H408)/H408</f>
        <v>-1</v>
      </c>
      <c r="J408" s="273">
        <v>0</v>
      </c>
      <c r="K408" s="278"/>
    </row>
    <row r="409" ht="22" customHeight="1" spans="1:11">
      <c r="A409" s="270">
        <v>2160299</v>
      </c>
      <c r="B409" s="271" t="s">
        <v>623</v>
      </c>
      <c r="C409" s="268">
        <v>0</v>
      </c>
      <c r="D409" s="268">
        <v>0</v>
      </c>
      <c r="E409" s="268">
        <v>2.73</v>
      </c>
      <c r="F409" s="273">
        <v>0</v>
      </c>
      <c r="G409" s="269">
        <v>0</v>
      </c>
      <c r="H409" s="273">
        <v>0</v>
      </c>
      <c r="I409" s="269">
        <v>0</v>
      </c>
      <c r="J409" s="273">
        <v>0</v>
      </c>
      <c r="K409" s="278"/>
    </row>
    <row r="410" ht="22" customHeight="1" spans="1:11">
      <c r="A410" s="270">
        <v>21606</v>
      </c>
      <c r="B410" s="271" t="s">
        <v>624</v>
      </c>
      <c r="C410" s="268">
        <v>0</v>
      </c>
      <c r="D410" s="268">
        <v>0</v>
      </c>
      <c r="E410" s="268">
        <v>3.24</v>
      </c>
      <c r="F410" s="273">
        <v>0</v>
      </c>
      <c r="G410" s="269">
        <v>0</v>
      </c>
      <c r="H410" s="273">
        <v>0</v>
      </c>
      <c r="I410" s="269">
        <v>0</v>
      </c>
      <c r="J410" s="273">
        <v>0</v>
      </c>
      <c r="K410" s="278"/>
    </row>
    <row r="411" ht="22" customHeight="1" spans="1:11">
      <c r="A411" s="270">
        <v>2160699</v>
      </c>
      <c r="B411" s="271" t="s">
        <v>625</v>
      </c>
      <c r="C411" s="268">
        <v>0</v>
      </c>
      <c r="D411" s="268">
        <v>0</v>
      </c>
      <c r="E411" s="268">
        <v>3.24</v>
      </c>
      <c r="F411" s="273">
        <v>0</v>
      </c>
      <c r="G411" s="269">
        <v>0</v>
      </c>
      <c r="H411" s="273">
        <v>0</v>
      </c>
      <c r="I411" s="269">
        <v>0</v>
      </c>
      <c r="J411" s="273">
        <v>0</v>
      </c>
      <c r="K411" s="278"/>
    </row>
    <row r="412" ht="22" customHeight="1" spans="1:11">
      <c r="A412" s="270">
        <v>21699</v>
      </c>
      <c r="B412" s="271" t="s">
        <v>626</v>
      </c>
      <c r="C412" s="268">
        <v>0</v>
      </c>
      <c r="D412" s="268">
        <v>0</v>
      </c>
      <c r="E412" s="268">
        <v>1086</v>
      </c>
      <c r="F412" s="273">
        <v>0</v>
      </c>
      <c r="G412" s="269">
        <v>0</v>
      </c>
      <c r="H412" s="273">
        <v>0</v>
      </c>
      <c r="I412" s="269">
        <v>0</v>
      </c>
      <c r="J412" s="273">
        <v>181.5282</v>
      </c>
      <c r="K412" s="278"/>
    </row>
    <row r="413" ht="22" customHeight="1" spans="1:11">
      <c r="A413" s="270">
        <v>2169999</v>
      </c>
      <c r="B413" s="271" t="s">
        <v>627</v>
      </c>
      <c r="C413" s="268">
        <v>0</v>
      </c>
      <c r="D413" s="268">
        <v>0</v>
      </c>
      <c r="E413" s="268">
        <v>1086</v>
      </c>
      <c r="F413" s="273">
        <v>0</v>
      </c>
      <c r="G413" s="269">
        <v>0</v>
      </c>
      <c r="H413" s="273">
        <v>0</v>
      </c>
      <c r="I413" s="269">
        <v>0</v>
      </c>
      <c r="J413" s="273">
        <v>181.5282</v>
      </c>
      <c r="K413" s="278"/>
    </row>
    <row r="414" ht="22" customHeight="1" spans="1:11">
      <c r="A414" s="270">
        <v>217</v>
      </c>
      <c r="B414" s="271" t="s">
        <v>628</v>
      </c>
      <c r="C414" s="268">
        <v>0</v>
      </c>
      <c r="D414" s="268">
        <v>0</v>
      </c>
      <c r="E414" s="268">
        <v>-48.65</v>
      </c>
      <c r="F414" s="273">
        <v>0</v>
      </c>
      <c r="G414" s="269">
        <v>0</v>
      </c>
      <c r="H414" s="273">
        <v>0</v>
      </c>
      <c r="I414" s="269">
        <v>0</v>
      </c>
      <c r="J414" s="273">
        <v>0</v>
      </c>
      <c r="K414" s="278"/>
    </row>
    <row r="415" ht="22" customHeight="1" spans="1:11">
      <c r="A415" s="270">
        <v>21799</v>
      </c>
      <c r="B415" s="271" t="s">
        <v>629</v>
      </c>
      <c r="C415" s="268">
        <v>0</v>
      </c>
      <c r="D415" s="268">
        <v>0</v>
      </c>
      <c r="E415" s="268">
        <v>-48.65</v>
      </c>
      <c r="F415" s="273">
        <v>0</v>
      </c>
      <c r="G415" s="269">
        <v>0</v>
      </c>
      <c r="H415" s="273">
        <v>0</v>
      </c>
      <c r="I415" s="269">
        <v>0</v>
      </c>
      <c r="J415" s="273">
        <v>0</v>
      </c>
      <c r="K415" s="278"/>
    </row>
    <row r="416" ht="22" customHeight="1" spans="1:11">
      <c r="A416" s="270">
        <v>2179902</v>
      </c>
      <c r="B416" s="271" t="s">
        <v>630</v>
      </c>
      <c r="C416" s="268">
        <v>0</v>
      </c>
      <c r="D416" s="268">
        <v>0</v>
      </c>
      <c r="E416" s="268">
        <v>-48.65</v>
      </c>
      <c r="F416" s="273">
        <v>0</v>
      </c>
      <c r="G416" s="269">
        <v>0</v>
      </c>
      <c r="H416" s="273">
        <v>0</v>
      </c>
      <c r="I416" s="269">
        <v>0</v>
      </c>
      <c r="J416" s="273">
        <v>0</v>
      </c>
      <c r="K416" s="278"/>
    </row>
    <row r="417" ht="22" customHeight="1" spans="1:11">
      <c r="A417" s="270">
        <v>220</v>
      </c>
      <c r="B417" s="271" t="s">
        <v>631</v>
      </c>
      <c r="C417" s="268">
        <v>2016.32763</v>
      </c>
      <c r="D417" s="268">
        <v>2161.699043</v>
      </c>
      <c r="E417" s="268">
        <v>0</v>
      </c>
      <c r="F417" s="273">
        <v>2032.863415</v>
      </c>
      <c r="G417" s="269">
        <f>F417/D417</f>
        <v>0.940400756332296</v>
      </c>
      <c r="H417" s="273">
        <v>2738.582892</v>
      </c>
      <c r="I417" s="269">
        <f>(F417-H417)/H417</f>
        <v>-0.257695130960454</v>
      </c>
      <c r="J417" s="273">
        <v>0</v>
      </c>
      <c r="K417" s="278"/>
    </row>
    <row r="418" ht="22" customHeight="1" spans="1:11">
      <c r="A418" s="270">
        <v>22001</v>
      </c>
      <c r="B418" s="271" t="s">
        <v>632</v>
      </c>
      <c r="C418" s="268">
        <v>1706.57839</v>
      </c>
      <c r="D418" s="268">
        <v>1848.71931</v>
      </c>
      <c r="E418" s="268">
        <v>0</v>
      </c>
      <c r="F418" s="273">
        <v>1742.515264</v>
      </c>
      <c r="G418" s="269">
        <f>F418/D418</f>
        <v>0.942552638777814</v>
      </c>
      <c r="H418" s="273">
        <v>2418.505652</v>
      </c>
      <c r="I418" s="269">
        <f>(F418-H418)/H418</f>
        <v>-0.279507466704072</v>
      </c>
      <c r="J418" s="273">
        <v>0</v>
      </c>
      <c r="K418" s="278"/>
    </row>
    <row r="419" ht="22" customHeight="1" spans="1:11">
      <c r="A419" s="270">
        <v>2200101</v>
      </c>
      <c r="B419" s="271" t="s">
        <v>288</v>
      </c>
      <c r="C419" s="268">
        <v>1647.57839</v>
      </c>
      <c r="D419" s="268">
        <v>1598.08511</v>
      </c>
      <c r="E419" s="268">
        <v>0</v>
      </c>
      <c r="F419" s="273">
        <v>1692.641064</v>
      </c>
      <c r="G419" s="269">
        <f>F419/D419</f>
        <v>1.05916828422236</v>
      </c>
      <c r="H419" s="273">
        <v>2160.205652</v>
      </c>
      <c r="I419" s="269">
        <f>(F419-H419)/H419</f>
        <v>-0.216444479518471</v>
      </c>
      <c r="J419" s="273">
        <v>0</v>
      </c>
      <c r="K419" s="278"/>
    </row>
    <row r="420" ht="22" customHeight="1" spans="1:11">
      <c r="A420" s="270">
        <v>2200102</v>
      </c>
      <c r="B420" s="271" t="s">
        <v>568</v>
      </c>
      <c r="C420" s="268">
        <v>43</v>
      </c>
      <c r="D420" s="268">
        <v>43.5842</v>
      </c>
      <c r="E420" s="268">
        <v>0</v>
      </c>
      <c r="F420" s="273">
        <v>43.5842</v>
      </c>
      <c r="G420" s="269">
        <f>F420/D420</f>
        <v>1</v>
      </c>
      <c r="H420" s="273">
        <v>0</v>
      </c>
      <c r="I420" s="269"/>
      <c r="J420" s="273"/>
      <c r="K420" s="278"/>
    </row>
    <row r="421" ht="22" customHeight="1" spans="1:11">
      <c r="A421" s="270">
        <v>2200104</v>
      </c>
      <c r="B421" s="271" t="s">
        <v>633</v>
      </c>
      <c r="C421" s="268">
        <v>0</v>
      </c>
      <c r="D421" s="268">
        <v>0</v>
      </c>
      <c r="E421" s="268">
        <v>0</v>
      </c>
      <c r="F421" s="273">
        <v>0</v>
      </c>
      <c r="G421" s="269">
        <v>0</v>
      </c>
      <c r="H421" s="273">
        <v>33.25</v>
      </c>
      <c r="I421" s="269">
        <f t="shared" ref="I421:I426" si="44">(F421-H421)/H421</f>
        <v>-1</v>
      </c>
      <c r="J421" s="273">
        <v>0</v>
      </c>
      <c r="K421" s="278"/>
    </row>
    <row r="422" ht="22" customHeight="1" spans="1:11">
      <c r="A422" s="270">
        <v>2200106</v>
      </c>
      <c r="B422" s="271" t="s">
        <v>634</v>
      </c>
      <c r="C422" s="268">
        <v>0</v>
      </c>
      <c r="D422" s="268">
        <v>187.56</v>
      </c>
      <c r="E422" s="268">
        <v>0</v>
      </c>
      <c r="F422" s="273">
        <v>0</v>
      </c>
      <c r="G422" s="269">
        <f>F422/D422</f>
        <v>0</v>
      </c>
      <c r="H422" s="273">
        <v>39.25</v>
      </c>
      <c r="I422" s="269">
        <f t="shared" si="44"/>
        <v>-1</v>
      </c>
      <c r="J422" s="273">
        <v>0</v>
      </c>
      <c r="K422" s="278"/>
    </row>
    <row r="423" ht="22" customHeight="1" spans="1:11">
      <c r="A423" s="270">
        <v>2200109</v>
      </c>
      <c r="B423" s="271" t="s">
        <v>635</v>
      </c>
      <c r="C423" s="268">
        <v>16</v>
      </c>
      <c r="D423" s="268">
        <v>19.49</v>
      </c>
      <c r="E423" s="268">
        <v>0</v>
      </c>
      <c r="F423" s="273">
        <v>6.29</v>
      </c>
      <c r="G423" s="269">
        <f>F423/D423</f>
        <v>0.322729604925603</v>
      </c>
      <c r="H423" s="273">
        <v>29.8</v>
      </c>
      <c r="I423" s="269">
        <f t="shared" si="44"/>
        <v>-0.788926174496644</v>
      </c>
      <c r="J423" s="273">
        <v>0</v>
      </c>
      <c r="K423" s="278"/>
    </row>
    <row r="424" ht="22" customHeight="1" spans="1:11">
      <c r="A424" s="274">
        <v>2200199</v>
      </c>
      <c r="B424" s="271" t="s">
        <v>636</v>
      </c>
      <c r="C424" s="268">
        <v>0</v>
      </c>
      <c r="D424" s="268">
        <v>0</v>
      </c>
      <c r="E424" s="268">
        <v>0</v>
      </c>
      <c r="F424" s="273">
        <v>0</v>
      </c>
      <c r="G424" s="269">
        <v>0</v>
      </c>
      <c r="H424" s="273">
        <v>156</v>
      </c>
      <c r="I424" s="269">
        <f t="shared" si="44"/>
        <v>-1</v>
      </c>
      <c r="J424" s="273">
        <v>0</v>
      </c>
      <c r="K424" s="278"/>
    </row>
    <row r="425" ht="22" customHeight="1" spans="1:11">
      <c r="A425" s="270">
        <v>22005</v>
      </c>
      <c r="B425" s="271" t="s">
        <v>636</v>
      </c>
      <c r="C425" s="268">
        <v>309.74924</v>
      </c>
      <c r="D425" s="268">
        <v>312.979733</v>
      </c>
      <c r="E425" s="268">
        <v>0</v>
      </c>
      <c r="F425" s="273">
        <v>290.348151</v>
      </c>
      <c r="G425" s="269">
        <f>F425/D425</f>
        <v>0.927689944064205</v>
      </c>
      <c r="H425" s="273">
        <v>320.07724</v>
      </c>
      <c r="I425" s="269">
        <f t="shared" si="44"/>
        <v>-0.0928809839774926</v>
      </c>
      <c r="J425" s="273">
        <v>0</v>
      </c>
      <c r="K425" s="278"/>
    </row>
    <row r="426" ht="22" customHeight="1" spans="1:11">
      <c r="A426" s="270">
        <v>2200504</v>
      </c>
      <c r="B426" s="271" t="s">
        <v>637</v>
      </c>
      <c r="C426" s="268">
        <v>103.558428</v>
      </c>
      <c r="D426" s="268">
        <v>113.309807</v>
      </c>
      <c r="E426" s="268">
        <v>0</v>
      </c>
      <c r="F426" s="273">
        <v>99.25644</v>
      </c>
      <c r="G426" s="269">
        <f>F426/D426</f>
        <v>0.875973956958553</v>
      </c>
      <c r="H426" s="273">
        <v>131.162456</v>
      </c>
      <c r="I426" s="269">
        <f t="shared" si="44"/>
        <v>-0.243255707258181</v>
      </c>
      <c r="J426" s="273">
        <v>0</v>
      </c>
      <c r="K426" s="278"/>
    </row>
    <row r="427" ht="22" customHeight="1" spans="1:11">
      <c r="A427" s="270">
        <v>2200509</v>
      </c>
      <c r="B427" s="271" t="s">
        <v>638</v>
      </c>
      <c r="C427" s="268">
        <v>206.190812</v>
      </c>
      <c r="D427" s="268">
        <v>199.669926</v>
      </c>
      <c r="E427" s="268">
        <v>0</v>
      </c>
      <c r="F427" s="273">
        <v>191.091711</v>
      </c>
      <c r="G427" s="269">
        <f>F427/D427</f>
        <v>0.957038021840104</v>
      </c>
      <c r="H427" s="273">
        <v>188.914784</v>
      </c>
      <c r="I427" s="269">
        <f t="shared" ref="I427:I457" si="45">(F427-H427)/H427</f>
        <v>0.0115233278937026</v>
      </c>
      <c r="J427" s="273">
        <v>0</v>
      </c>
      <c r="K427" s="278"/>
    </row>
    <row r="428" ht="22" customHeight="1" spans="1:11">
      <c r="A428" s="270">
        <v>221</v>
      </c>
      <c r="B428" s="283" t="s">
        <v>639</v>
      </c>
      <c r="C428" s="268">
        <v>59.4491</v>
      </c>
      <c r="D428" s="268">
        <v>77.1248</v>
      </c>
      <c r="E428" s="268">
        <v>1916.84</v>
      </c>
      <c r="F428" s="273">
        <v>165.331902</v>
      </c>
      <c r="G428" s="269">
        <f>F428/D428</f>
        <v>2.14369310520092</v>
      </c>
      <c r="H428" s="273">
        <v>912.332828</v>
      </c>
      <c r="I428" s="269">
        <f t="shared" si="45"/>
        <v>-0.818781154282875</v>
      </c>
      <c r="J428" s="273">
        <v>1055.342475</v>
      </c>
      <c r="K428" s="278"/>
    </row>
    <row r="429" ht="22" customHeight="1" spans="1:11">
      <c r="A429" s="270">
        <v>22101</v>
      </c>
      <c r="B429" s="271" t="s">
        <v>640</v>
      </c>
      <c r="C429" s="268">
        <v>0</v>
      </c>
      <c r="D429" s="268">
        <v>15.87</v>
      </c>
      <c r="E429" s="268">
        <v>1916.84</v>
      </c>
      <c r="F429" s="273">
        <v>109.840402</v>
      </c>
      <c r="G429" s="269">
        <f>F429/D429</f>
        <v>6.92126036546944</v>
      </c>
      <c r="H429" s="273">
        <v>912.332828</v>
      </c>
      <c r="I429" s="269">
        <f t="shared" si="45"/>
        <v>-0.879604900066141</v>
      </c>
      <c r="J429" s="273">
        <v>1055.342475</v>
      </c>
      <c r="K429" s="278"/>
    </row>
    <row r="430" ht="22" customHeight="1" spans="1:11">
      <c r="A430" s="270">
        <v>2210103</v>
      </c>
      <c r="B430" s="271" t="s">
        <v>641</v>
      </c>
      <c r="C430" s="268">
        <v>0</v>
      </c>
      <c r="D430" s="268">
        <v>0</v>
      </c>
      <c r="E430" s="268">
        <v>735.74</v>
      </c>
      <c r="F430" s="273">
        <v>0</v>
      </c>
      <c r="G430" s="269">
        <v>0</v>
      </c>
      <c r="H430" s="273">
        <v>472.14</v>
      </c>
      <c r="I430" s="269">
        <f t="shared" si="45"/>
        <v>-1</v>
      </c>
      <c r="J430" s="273">
        <v>610.137741</v>
      </c>
      <c r="K430" s="278"/>
    </row>
    <row r="431" ht="22" customHeight="1" spans="1:11">
      <c r="A431" s="270">
        <v>2210105</v>
      </c>
      <c r="B431" s="271" t="s">
        <v>642</v>
      </c>
      <c r="C431" s="268">
        <v>0</v>
      </c>
      <c r="D431" s="268">
        <v>0</v>
      </c>
      <c r="E431" s="268">
        <v>931.4</v>
      </c>
      <c r="F431" s="273">
        <v>0</v>
      </c>
      <c r="G431" s="269">
        <v>0</v>
      </c>
      <c r="H431" s="273">
        <v>0</v>
      </c>
      <c r="I431" s="269">
        <v>0</v>
      </c>
      <c r="J431" s="273">
        <v>245.860934</v>
      </c>
      <c r="K431" s="278"/>
    </row>
    <row r="432" ht="22" customHeight="1" spans="1:11">
      <c r="A432" s="270">
        <v>2210106</v>
      </c>
      <c r="B432" s="271" t="s">
        <v>643</v>
      </c>
      <c r="C432" s="268">
        <v>0</v>
      </c>
      <c r="D432" s="268">
        <v>15.87</v>
      </c>
      <c r="E432" s="268">
        <v>0</v>
      </c>
      <c r="F432" s="273">
        <v>14.840402</v>
      </c>
      <c r="G432" s="269">
        <f>F432/D432</f>
        <v>0.93512299936988</v>
      </c>
      <c r="H432" s="273">
        <v>35.362828</v>
      </c>
      <c r="I432" s="269">
        <f t="shared" si="45"/>
        <v>-0.580338936693638</v>
      </c>
      <c r="J432" s="273">
        <v>0</v>
      </c>
      <c r="K432" s="278"/>
    </row>
    <row r="433" ht="22" customHeight="1" spans="1:11">
      <c r="A433" s="270">
        <v>2210107</v>
      </c>
      <c r="B433" s="271" t="s">
        <v>644</v>
      </c>
      <c r="C433" s="268">
        <v>0</v>
      </c>
      <c r="D433" s="268">
        <v>0</v>
      </c>
      <c r="E433" s="268">
        <v>134.15</v>
      </c>
      <c r="F433" s="273">
        <v>0</v>
      </c>
      <c r="G433" s="269">
        <v>0</v>
      </c>
      <c r="H433" s="273">
        <v>329.27</v>
      </c>
      <c r="I433" s="269">
        <f t="shared" si="45"/>
        <v>-1</v>
      </c>
      <c r="J433" s="273">
        <v>121.9338</v>
      </c>
      <c r="K433" s="278"/>
    </row>
    <row r="434" ht="22" customHeight="1" spans="1:11">
      <c r="A434" s="270">
        <v>2210108</v>
      </c>
      <c r="B434" s="271" t="s">
        <v>645</v>
      </c>
      <c r="C434" s="268">
        <v>0</v>
      </c>
      <c r="D434" s="268">
        <v>0</v>
      </c>
      <c r="E434" s="268">
        <v>115.55</v>
      </c>
      <c r="F434" s="273">
        <v>0</v>
      </c>
      <c r="G434" s="269">
        <v>0</v>
      </c>
      <c r="H434" s="273">
        <v>75.56</v>
      </c>
      <c r="I434" s="269">
        <f t="shared" si="45"/>
        <v>-1</v>
      </c>
      <c r="J434" s="273">
        <v>77.41</v>
      </c>
      <c r="K434" s="278"/>
    </row>
    <row r="435" ht="22" customHeight="1" spans="1:11">
      <c r="A435" s="270">
        <v>2210199</v>
      </c>
      <c r="B435" s="271" t="s">
        <v>646</v>
      </c>
      <c r="C435" s="268">
        <v>0</v>
      </c>
      <c r="D435" s="268">
        <v>0</v>
      </c>
      <c r="E435" s="268">
        <v>0</v>
      </c>
      <c r="F435" s="273">
        <v>95</v>
      </c>
      <c r="G435" s="269">
        <v>0</v>
      </c>
      <c r="H435" s="273">
        <v>0</v>
      </c>
      <c r="I435" s="269">
        <v>0</v>
      </c>
      <c r="J435" s="273">
        <v>0</v>
      </c>
      <c r="K435" s="278"/>
    </row>
    <row r="436" ht="22" customHeight="1" spans="1:11">
      <c r="A436" s="270">
        <v>22102</v>
      </c>
      <c r="B436" s="271" t="s">
        <v>647</v>
      </c>
      <c r="C436" s="268">
        <v>59.4491</v>
      </c>
      <c r="D436" s="268">
        <v>61.2548</v>
      </c>
      <c r="E436" s="268">
        <v>0</v>
      </c>
      <c r="F436" s="273">
        <v>55.4915</v>
      </c>
      <c r="G436" s="269">
        <f>F436/D436</f>
        <v>0.905912679496137</v>
      </c>
      <c r="H436" s="273">
        <v>0</v>
      </c>
      <c r="I436" s="269">
        <v>0</v>
      </c>
      <c r="J436" s="273">
        <v>0</v>
      </c>
      <c r="K436" s="278"/>
    </row>
    <row r="437" ht="22" customHeight="1" spans="1:11">
      <c r="A437" s="270">
        <v>2210201</v>
      </c>
      <c r="B437" s="271" t="s">
        <v>648</v>
      </c>
      <c r="C437" s="268">
        <v>6.2844</v>
      </c>
      <c r="D437" s="268">
        <v>8.0901</v>
      </c>
      <c r="E437" s="268">
        <v>0</v>
      </c>
      <c r="F437" s="273">
        <v>2.3294</v>
      </c>
      <c r="G437" s="269">
        <f>F437/D437</f>
        <v>0.287932164002917</v>
      </c>
      <c r="H437" s="273">
        <v>0</v>
      </c>
      <c r="I437" s="269">
        <v>0</v>
      </c>
      <c r="J437" s="273">
        <v>0</v>
      </c>
      <c r="K437" s="278"/>
    </row>
    <row r="438" ht="22" customHeight="1" spans="1:11">
      <c r="A438" s="270">
        <v>2210203</v>
      </c>
      <c r="B438" s="271" t="s">
        <v>649</v>
      </c>
      <c r="C438" s="268">
        <v>53.1647</v>
      </c>
      <c r="D438" s="268">
        <v>53.1647</v>
      </c>
      <c r="E438" s="268">
        <v>0</v>
      </c>
      <c r="F438" s="273">
        <v>53.1621</v>
      </c>
      <c r="G438" s="269">
        <f>F438/D438</f>
        <v>0.999951095369672</v>
      </c>
      <c r="H438" s="273">
        <v>0</v>
      </c>
      <c r="I438" s="269">
        <v>0</v>
      </c>
      <c r="J438" s="273">
        <v>0</v>
      </c>
      <c r="K438" s="278"/>
    </row>
    <row r="439" ht="22" customHeight="1" spans="1:11">
      <c r="A439" s="270">
        <v>222</v>
      </c>
      <c r="B439" s="271" t="s">
        <v>650</v>
      </c>
      <c r="C439" s="268">
        <v>320.02</v>
      </c>
      <c r="D439" s="268">
        <v>320.02</v>
      </c>
      <c r="E439" s="268">
        <v>101.062176</v>
      </c>
      <c r="F439" s="273">
        <v>126.764285</v>
      </c>
      <c r="G439" s="269">
        <f>F439/D439</f>
        <v>0.396113633522905</v>
      </c>
      <c r="H439" s="273">
        <v>972.65</v>
      </c>
      <c r="I439" s="269">
        <f t="shared" si="45"/>
        <v>-0.869671222947617</v>
      </c>
      <c r="J439" s="273">
        <v>100.545176</v>
      </c>
      <c r="K439" s="278"/>
    </row>
    <row r="440" ht="22" customHeight="1" spans="1:11">
      <c r="A440" s="270">
        <v>22201</v>
      </c>
      <c r="B440" s="271" t="s">
        <v>651</v>
      </c>
      <c r="C440" s="268">
        <v>58.14</v>
      </c>
      <c r="D440" s="268">
        <v>58.14</v>
      </c>
      <c r="E440" s="268">
        <v>68.574</v>
      </c>
      <c r="F440" s="273">
        <v>40.764285</v>
      </c>
      <c r="G440" s="269">
        <f>F440/D440</f>
        <v>0.701140092879257</v>
      </c>
      <c r="H440" s="273">
        <v>64.05</v>
      </c>
      <c r="I440" s="269">
        <f t="shared" si="45"/>
        <v>-0.363555269320843</v>
      </c>
      <c r="J440" s="273">
        <v>68.057</v>
      </c>
      <c r="K440" s="278"/>
    </row>
    <row r="441" ht="22" customHeight="1" spans="1:11">
      <c r="A441" s="274">
        <v>2220101</v>
      </c>
      <c r="B441" s="271" t="s">
        <v>652</v>
      </c>
      <c r="C441" s="268">
        <v>0</v>
      </c>
      <c r="D441" s="268">
        <v>0</v>
      </c>
      <c r="E441" s="268">
        <v>0</v>
      </c>
      <c r="F441" s="273">
        <v>0</v>
      </c>
      <c r="G441" s="269">
        <v>0</v>
      </c>
      <c r="H441" s="273">
        <v>10</v>
      </c>
      <c r="I441" s="269">
        <f t="shared" si="45"/>
        <v>-1</v>
      </c>
      <c r="J441" s="273">
        <v>0</v>
      </c>
      <c r="K441" s="278"/>
    </row>
    <row r="442" ht="22" customHeight="1" spans="1:11">
      <c r="A442" s="270">
        <v>2220112</v>
      </c>
      <c r="B442" s="271" t="s">
        <v>652</v>
      </c>
      <c r="C442" s="268">
        <v>58.14</v>
      </c>
      <c r="D442" s="268">
        <v>58.14</v>
      </c>
      <c r="E442" s="268">
        <v>0</v>
      </c>
      <c r="F442" s="273">
        <v>40.764285</v>
      </c>
      <c r="G442" s="269">
        <f>F442/D442</f>
        <v>0.701140092879257</v>
      </c>
      <c r="H442" s="273">
        <v>54.05</v>
      </c>
      <c r="I442" s="269">
        <f t="shared" si="45"/>
        <v>-0.245804162812211</v>
      </c>
      <c r="J442" s="273">
        <v>0</v>
      </c>
      <c r="K442" s="278"/>
    </row>
    <row r="443" ht="22" customHeight="1" spans="1:11">
      <c r="A443" s="270">
        <v>2220199</v>
      </c>
      <c r="B443" s="283" t="s">
        <v>653</v>
      </c>
      <c r="C443" s="268">
        <v>0</v>
      </c>
      <c r="D443" s="268">
        <v>0</v>
      </c>
      <c r="E443" s="268">
        <v>68.574</v>
      </c>
      <c r="F443" s="273">
        <v>0</v>
      </c>
      <c r="G443" s="269">
        <v>0</v>
      </c>
      <c r="H443" s="273">
        <v>0</v>
      </c>
      <c r="I443" s="269">
        <v>0</v>
      </c>
      <c r="J443" s="273">
        <v>68.057</v>
      </c>
      <c r="K443" s="278"/>
    </row>
    <row r="444" ht="22" customHeight="1" spans="1:11">
      <c r="A444" s="270">
        <v>22202</v>
      </c>
      <c r="B444" s="271" t="s">
        <v>654</v>
      </c>
      <c r="C444" s="268">
        <v>0</v>
      </c>
      <c r="D444" s="268">
        <v>0</v>
      </c>
      <c r="E444" s="268">
        <v>0</v>
      </c>
      <c r="F444" s="273">
        <v>0</v>
      </c>
      <c r="G444" s="269">
        <v>0</v>
      </c>
      <c r="H444" s="273">
        <v>50</v>
      </c>
      <c r="I444" s="269">
        <f t="shared" ref="I444:I449" si="46">(F444-H444)/H444</f>
        <v>-1</v>
      </c>
      <c r="J444" s="273">
        <v>0</v>
      </c>
      <c r="K444" s="278"/>
    </row>
    <row r="445" ht="22" customHeight="1" spans="1:11">
      <c r="A445" s="270">
        <v>2220207</v>
      </c>
      <c r="B445" s="271" t="s">
        <v>655</v>
      </c>
      <c r="C445" s="268">
        <v>0</v>
      </c>
      <c r="D445" s="268">
        <v>0</v>
      </c>
      <c r="E445" s="268">
        <v>0</v>
      </c>
      <c r="F445" s="273">
        <v>0</v>
      </c>
      <c r="G445" s="269">
        <v>0</v>
      </c>
      <c r="H445" s="273">
        <v>50</v>
      </c>
      <c r="I445" s="269">
        <f t="shared" si="46"/>
        <v>-1</v>
      </c>
      <c r="J445" s="273">
        <v>0</v>
      </c>
      <c r="K445" s="278"/>
    </row>
    <row r="446" ht="22" customHeight="1" spans="1:11">
      <c r="A446" s="270">
        <v>22204</v>
      </c>
      <c r="B446" s="271" t="s">
        <v>656</v>
      </c>
      <c r="C446" s="268">
        <v>211.88</v>
      </c>
      <c r="D446" s="268">
        <v>211.88</v>
      </c>
      <c r="E446" s="268">
        <v>0</v>
      </c>
      <c r="F446" s="273">
        <v>36</v>
      </c>
      <c r="G446" s="269">
        <f>F446/D446</f>
        <v>0.169907494808382</v>
      </c>
      <c r="H446" s="273">
        <v>184.6</v>
      </c>
      <c r="I446" s="269">
        <f t="shared" si="46"/>
        <v>-0.80498374864572</v>
      </c>
      <c r="J446" s="273">
        <v>0</v>
      </c>
      <c r="K446" s="278"/>
    </row>
    <row r="447" ht="22" customHeight="1" spans="1:11">
      <c r="A447" s="274">
        <v>2220402</v>
      </c>
      <c r="B447" s="271" t="s">
        <v>657</v>
      </c>
      <c r="C447" s="268">
        <v>159.9</v>
      </c>
      <c r="D447" s="268">
        <v>159.9</v>
      </c>
      <c r="E447" s="268">
        <v>0</v>
      </c>
      <c r="F447" s="273">
        <v>0</v>
      </c>
      <c r="G447" s="269">
        <f>F447/D447</f>
        <v>0</v>
      </c>
      <c r="H447" s="273">
        <v>133.1</v>
      </c>
      <c r="I447" s="269">
        <f t="shared" si="46"/>
        <v>-1</v>
      </c>
      <c r="J447" s="273">
        <v>0</v>
      </c>
      <c r="K447" s="278"/>
    </row>
    <row r="448" ht="22" customHeight="1" spans="1:11">
      <c r="A448" s="270">
        <v>2220499</v>
      </c>
      <c r="B448" s="271" t="s">
        <v>657</v>
      </c>
      <c r="C448" s="268">
        <v>51.98</v>
      </c>
      <c r="D448" s="268">
        <v>51.98</v>
      </c>
      <c r="E448" s="268">
        <v>0</v>
      </c>
      <c r="F448" s="273">
        <v>36</v>
      </c>
      <c r="G448" s="269">
        <f>F448/D448</f>
        <v>0.692574066948827</v>
      </c>
      <c r="H448" s="273">
        <v>51.5</v>
      </c>
      <c r="I448" s="269">
        <f t="shared" si="46"/>
        <v>-0.300970873786408</v>
      </c>
      <c r="J448" s="273">
        <v>0</v>
      </c>
      <c r="K448" s="278"/>
    </row>
    <row r="449" ht="22" customHeight="1" spans="1:11">
      <c r="A449" s="270">
        <v>22205</v>
      </c>
      <c r="B449" s="271" t="s">
        <v>658</v>
      </c>
      <c r="C449" s="268">
        <v>50</v>
      </c>
      <c r="D449" s="268">
        <v>50</v>
      </c>
      <c r="E449" s="268">
        <v>32.488176</v>
      </c>
      <c r="F449" s="273">
        <v>50</v>
      </c>
      <c r="G449" s="269">
        <f>F449/D449</f>
        <v>1</v>
      </c>
      <c r="H449" s="273">
        <v>674</v>
      </c>
      <c r="I449" s="269">
        <f t="shared" si="46"/>
        <v>-0.925816023738872</v>
      </c>
      <c r="J449" s="273">
        <v>32.488176</v>
      </c>
      <c r="K449" s="278"/>
    </row>
    <row r="450" ht="22" customHeight="1" spans="1:11">
      <c r="A450" s="270">
        <v>2220504</v>
      </c>
      <c r="B450" s="271" t="s">
        <v>659</v>
      </c>
      <c r="C450" s="268">
        <v>50</v>
      </c>
      <c r="D450" s="268">
        <v>50</v>
      </c>
      <c r="E450" s="268">
        <v>32.488176</v>
      </c>
      <c r="F450" s="273">
        <v>50</v>
      </c>
      <c r="G450" s="269">
        <f>F450/D450</f>
        <v>1</v>
      </c>
      <c r="H450" s="273">
        <v>0</v>
      </c>
      <c r="I450" s="269">
        <v>0</v>
      </c>
      <c r="J450" s="273">
        <v>32.488176</v>
      </c>
      <c r="K450" s="278"/>
    </row>
    <row r="451" ht="22" customHeight="1" spans="1:11">
      <c r="A451" s="270">
        <v>2220508</v>
      </c>
      <c r="B451" s="271" t="s">
        <v>660</v>
      </c>
      <c r="C451" s="268">
        <v>0</v>
      </c>
      <c r="D451" s="268">
        <v>0</v>
      </c>
      <c r="E451" s="268">
        <v>0</v>
      </c>
      <c r="F451" s="273">
        <v>0</v>
      </c>
      <c r="G451" s="269">
        <v>0</v>
      </c>
      <c r="H451" s="273">
        <v>674</v>
      </c>
      <c r="I451" s="269">
        <f>(F451-H451)/H451</f>
        <v>-1</v>
      </c>
      <c r="J451" s="273">
        <v>0</v>
      </c>
      <c r="K451" s="278"/>
    </row>
    <row r="452" ht="22" customHeight="1" spans="1:11">
      <c r="A452" s="270">
        <v>224</v>
      </c>
      <c r="B452" s="271" t="s">
        <v>661</v>
      </c>
      <c r="C452" s="268">
        <v>1488.281634</v>
      </c>
      <c r="D452" s="268">
        <v>1424.018964</v>
      </c>
      <c r="E452" s="268">
        <v>1752.15</v>
      </c>
      <c r="F452" s="273">
        <v>1352.982698</v>
      </c>
      <c r="G452" s="269">
        <f>F452/D452</f>
        <v>0.950115646072253</v>
      </c>
      <c r="H452" s="273">
        <v>1849.890272</v>
      </c>
      <c r="I452" s="269">
        <f>(F452-H452)/H452</f>
        <v>-0.268614620835197</v>
      </c>
      <c r="J452" s="273">
        <v>108.72</v>
      </c>
      <c r="K452" s="278"/>
    </row>
    <row r="453" ht="22" customHeight="1" spans="1:11">
      <c r="A453" s="270">
        <v>22401</v>
      </c>
      <c r="B453" s="271" t="s">
        <v>662</v>
      </c>
      <c r="C453" s="272">
        <v>733.021634</v>
      </c>
      <c r="D453" s="272">
        <v>671.636734</v>
      </c>
      <c r="E453" s="272">
        <v>102.2</v>
      </c>
      <c r="F453" s="273">
        <v>656.568768</v>
      </c>
      <c r="G453" s="269">
        <f>F453/D453</f>
        <v>0.977565303925142</v>
      </c>
      <c r="H453" s="273">
        <v>791.565272</v>
      </c>
      <c r="I453" s="269">
        <f>(F453-H453)/H453</f>
        <v>-0.170543742601179</v>
      </c>
      <c r="J453" s="273">
        <v>0</v>
      </c>
      <c r="K453" s="278"/>
    </row>
    <row r="454" ht="22" customHeight="1" spans="1:11">
      <c r="A454" s="270">
        <v>2240101</v>
      </c>
      <c r="B454" s="271" t="s">
        <v>288</v>
      </c>
      <c r="C454" s="268">
        <v>610.621634</v>
      </c>
      <c r="D454" s="268">
        <v>607.236734</v>
      </c>
      <c r="E454" s="268">
        <v>0</v>
      </c>
      <c r="F454" s="273">
        <v>603.553768</v>
      </c>
      <c r="G454" s="269">
        <f>F454/D454</f>
        <v>0.993934876146673</v>
      </c>
      <c r="H454" s="273">
        <v>754.961872</v>
      </c>
      <c r="I454" s="269">
        <f>(F454-H454)/H454</f>
        <v>-0.200550663040636</v>
      </c>
      <c r="J454" s="273">
        <v>0</v>
      </c>
      <c r="K454" s="278"/>
    </row>
    <row r="455" ht="22" customHeight="1" spans="1:11">
      <c r="A455" s="270">
        <v>2240104</v>
      </c>
      <c r="B455" s="271" t="s">
        <v>663</v>
      </c>
      <c r="C455" s="268">
        <v>28</v>
      </c>
      <c r="D455" s="268">
        <v>10</v>
      </c>
      <c r="E455" s="268">
        <v>0</v>
      </c>
      <c r="F455" s="273">
        <v>9.9</v>
      </c>
      <c r="G455" s="269">
        <f>F455/D455</f>
        <v>0.99</v>
      </c>
      <c r="H455" s="273">
        <v>0</v>
      </c>
      <c r="I455" s="269">
        <v>0</v>
      </c>
      <c r="J455" s="273">
        <v>0</v>
      </c>
      <c r="K455" s="278"/>
    </row>
    <row r="456" ht="22" customHeight="1" spans="1:11">
      <c r="A456" s="270">
        <v>2240106</v>
      </c>
      <c r="B456" s="271" t="s">
        <v>664</v>
      </c>
      <c r="C456" s="268">
        <v>10</v>
      </c>
      <c r="D456" s="268">
        <v>4</v>
      </c>
      <c r="E456" s="268">
        <v>0</v>
      </c>
      <c r="F456" s="273">
        <v>0.8</v>
      </c>
      <c r="G456" s="269">
        <f>F456/D456</f>
        <v>0.2</v>
      </c>
      <c r="H456" s="273">
        <v>2.3122</v>
      </c>
      <c r="I456" s="269">
        <f>(F456-H456)/H456</f>
        <v>-0.654009168757028</v>
      </c>
      <c r="J456" s="273">
        <v>0</v>
      </c>
      <c r="K456" s="278"/>
    </row>
    <row r="457" ht="22" customHeight="1" spans="1:11">
      <c r="A457" s="270">
        <v>2240108</v>
      </c>
      <c r="B457" s="271" t="s">
        <v>665</v>
      </c>
      <c r="C457" s="268">
        <v>10</v>
      </c>
      <c r="D457" s="268">
        <v>0</v>
      </c>
      <c r="E457" s="268">
        <v>45</v>
      </c>
      <c r="F457" s="273">
        <v>9.98</v>
      </c>
      <c r="G457" s="269">
        <v>0</v>
      </c>
      <c r="H457" s="273">
        <v>11.1461</v>
      </c>
      <c r="I457" s="269">
        <f>(F457-H457)/H457</f>
        <v>-0.104619553027516</v>
      </c>
      <c r="J457" s="273">
        <v>0</v>
      </c>
      <c r="K457" s="278"/>
    </row>
    <row r="458" ht="22" customHeight="1" spans="1:11">
      <c r="A458" s="270">
        <v>2240109</v>
      </c>
      <c r="B458" s="271" t="s">
        <v>666</v>
      </c>
      <c r="C458" s="268">
        <v>2.9</v>
      </c>
      <c r="D458" s="268">
        <v>2.9</v>
      </c>
      <c r="E458" s="268">
        <v>0</v>
      </c>
      <c r="F458" s="273">
        <v>2.9</v>
      </c>
      <c r="G458" s="269">
        <f>F458/D458</f>
        <v>1</v>
      </c>
      <c r="H458" s="273">
        <v>0</v>
      </c>
      <c r="I458" s="269">
        <v>0</v>
      </c>
      <c r="J458" s="273">
        <v>0</v>
      </c>
      <c r="K458" s="278"/>
    </row>
    <row r="459" ht="22" customHeight="1" spans="1:11">
      <c r="A459" s="270">
        <v>2240199</v>
      </c>
      <c r="B459" s="284" t="s">
        <v>667</v>
      </c>
      <c r="C459" s="268">
        <v>71.5</v>
      </c>
      <c r="D459" s="268">
        <v>47.5</v>
      </c>
      <c r="E459" s="268">
        <v>57.2</v>
      </c>
      <c r="F459" s="273">
        <v>29.435</v>
      </c>
      <c r="G459" s="269">
        <f>F459/D459</f>
        <v>0.619684210526316</v>
      </c>
      <c r="H459" s="273">
        <v>23.1451</v>
      </c>
      <c r="I459" s="269">
        <f>(F459-H459)/H459</f>
        <v>0.271759465286389</v>
      </c>
      <c r="J459" s="273">
        <v>0</v>
      </c>
      <c r="K459" s="278"/>
    </row>
    <row r="460" ht="22" customHeight="1" spans="1:11">
      <c r="A460" s="270">
        <v>22402</v>
      </c>
      <c r="B460" s="284" t="s">
        <v>668</v>
      </c>
      <c r="C460" s="268">
        <v>692.06</v>
      </c>
      <c r="D460" s="268">
        <v>692.06</v>
      </c>
      <c r="E460" s="268">
        <v>0</v>
      </c>
      <c r="F460" s="273">
        <v>680.0767</v>
      </c>
      <c r="G460" s="269">
        <f>F460/D460</f>
        <v>0.982684593821345</v>
      </c>
      <c r="H460" s="273">
        <v>630</v>
      </c>
      <c r="I460" s="269">
        <f>(F460-H460)/H460</f>
        <v>0.0794868253968253</v>
      </c>
      <c r="J460" s="273">
        <v>0</v>
      </c>
      <c r="K460" s="278"/>
    </row>
    <row r="461" ht="22" customHeight="1" spans="1:11">
      <c r="A461" s="270">
        <v>2240204</v>
      </c>
      <c r="B461" s="284" t="s">
        <v>669</v>
      </c>
      <c r="C461" s="268">
        <v>692.06</v>
      </c>
      <c r="D461" s="268">
        <v>692.06</v>
      </c>
      <c r="E461" s="268">
        <v>0</v>
      </c>
      <c r="F461" s="273">
        <v>680.0767</v>
      </c>
      <c r="G461" s="269">
        <f t="shared" ref="G461:G485" si="47">F461/D461</f>
        <v>0.982684593821345</v>
      </c>
      <c r="H461" s="273">
        <v>630</v>
      </c>
      <c r="I461" s="269">
        <f>(F461-H461)/H461</f>
        <v>0.0794868253968253</v>
      </c>
      <c r="J461" s="273">
        <v>0</v>
      </c>
      <c r="K461" s="278"/>
    </row>
    <row r="462" ht="22" customHeight="1" spans="1:11">
      <c r="A462" s="274">
        <v>22404</v>
      </c>
      <c r="B462" s="284" t="s">
        <v>670</v>
      </c>
      <c r="C462" s="268">
        <v>13.2</v>
      </c>
      <c r="D462" s="268">
        <v>9.305</v>
      </c>
      <c r="E462" s="268">
        <v>0</v>
      </c>
      <c r="F462" s="273">
        <v>5.32</v>
      </c>
      <c r="G462" s="269">
        <f t="shared" si="47"/>
        <v>0.571735626007523</v>
      </c>
      <c r="H462" s="273">
        <v>7.895</v>
      </c>
      <c r="I462" s="269">
        <f>(F462-H462)/H462</f>
        <v>-0.32615579480684</v>
      </c>
      <c r="J462" s="273">
        <v>0</v>
      </c>
      <c r="K462" s="278"/>
    </row>
    <row r="463" ht="22" customHeight="1" spans="1:11">
      <c r="A463" s="274">
        <v>2240404</v>
      </c>
      <c r="B463" s="284" t="s">
        <v>671</v>
      </c>
      <c r="C463" s="268">
        <v>13.2</v>
      </c>
      <c r="D463" s="268">
        <v>9.305</v>
      </c>
      <c r="E463" s="268">
        <v>0</v>
      </c>
      <c r="F463" s="273">
        <v>5.32</v>
      </c>
      <c r="G463" s="269">
        <f t="shared" si="47"/>
        <v>0.571735626007523</v>
      </c>
      <c r="H463" s="273">
        <v>7.895</v>
      </c>
      <c r="I463" s="269">
        <f>(F463-H463)/H463</f>
        <v>-0.32615579480684</v>
      </c>
      <c r="J463" s="273">
        <v>0</v>
      </c>
      <c r="K463" s="278"/>
    </row>
    <row r="464" ht="22" customHeight="1" spans="1:11">
      <c r="A464" s="270">
        <v>22406</v>
      </c>
      <c r="B464" s="284" t="s">
        <v>672</v>
      </c>
      <c r="C464" s="268">
        <v>0</v>
      </c>
      <c r="D464" s="268">
        <v>0</v>
      </c>
      <c r="E464" s="268">
        <v>1003.45</v>
      </c>
      <c r="F464" s="273">
        <v>0</v>
      </c>
      <c r="G464" s="269">
        <v>0</v>
      </c>
      <c r="H464" s="273">
        <v>0</v>
      </c>
      <c r="I464" s="269">
        <v>0</v>
      </c>
      <c r="J464" s="273">
        <v>108.72</v>
      </c>
      <c r="K464" s="278"/>
    </row>
    <row r="465" ht="22" customHeight="1" spans="1:11">
      <c r="A465" s="270">
        <v>2240601</v>
      </c>
      <c r="B465" s="284" t="s">
        <v>673</v>
      </c>
      <c r="C465" s="268">
        <v>0</v>
      </c>
      <c r="D465" s="268">
        <v>0</v>
      </c>
      <c r="E465" s="268">
        <v>817.45</v>
      </c>
      <c r="F465" s="273">
        <v>0</v>
      </c>
      <c r="G465" s="269">
        <v>0</v>
      </c>
      <c r="H465" s="273">
        <v>0</v>
      </c>
      <c r="I465" s="269">
        <v>0</v>
      </c>
      <c r="J465" s="273">
        <v>106.32</v>
      </c>
      <c r="K465" s="278"/>
    </row>
    <row r="466" ht="22" customHeight="1" spans="1:11">
      <c r="A466" s="270">
        <v>2240699</v>
      </c>
      <c r="B466" s="284" t="s">
        <v>674</v>
      </c>
      <c r="C466" s="268">
        <v>0</v>
      </c>
      <c r="D466" s="268">
        <v>0</v>
      </c>
      <c r="E466" s="268">
        <v>186</v>
      </c>
      <c r="F466" s="273">
        <v>0</v>
      </c>
      <c r="G466" s="269">
        <v>0</v>
      </c>
      <c r="H466" s="273">
        <v>0</v>
      </c>
      <c r="I466" s="269">
        <v>0</v>
      </c>
      <c r="J466" s="273">
        <v>2.4</v>
      </c>
      <c r="K466" s="278"/>
    </row>
    <row r="467" ht="22" customHeight="1" spans="1:11">
      <c r="A467" s="270">
        <v>22407</v>
      </c>
      <c r="B467" s="284" t="s">
        <v>671</v>
      </c>
      <c r="C467" s="268">
        <v>50</v>
      </c>
      <c r="D467" s="268">
        <v>51.01723</v>
      </c>
      <c r="E467" s="268">
        <v>473.5</v>
      </c>
      <c r="F467" s="273">
        <v>11.01723</v>
      </c>
      <c r="G467" s="269">
        <f t="shared" si="47"/>
        <v>0.215951160029661</v>
      </c>
      <c r="H467" s="273">
        <v>420.43</v>
      </c>
      <c r="I467" s="269">
        <f t="shared" ref="I467:I469" si="48">(F467-H467)/H467</f>
        <v>-0.973795328592156</v>
      </c>
      <c r="J467" s="273">
        <v>0</v>
      </c>
      <c r="K467" s="278"/>
    </row>
    <row r="468" ht="22" customHeight="1" spans="1:11">
      <c r="A468" s="270">
        <v>2240701</v>
      </c>
      <c r="B468" s="284" t="s">
        <v>675</v>
      </c>
      <c r="C468" s="268">
        <v>0</v>
      </c>
      <c r="D468" s="268">
        <v>0</v>
      </c>
      <c r="E468" s="268">
        <v>0</v>
      </c>
      <c r="F468" s="273">
        <v>0</v>
      </c>
      <c r="G468" s="269">
        <v>0</v>
      </c>
      <c r="H468" s="273">
        <v>418</v>
      </c>
      <c r="I468" s="269">
        <f t="shared" si="48"/>
        <v>-1</v>
      </c>
      <c r="J468" s="273">
        <v>0</v>
      </c>
      <c r="K468" s="278"/>
    </row>
    <row r="469" ht="22" customHeight="1" spans="1:11">
      <c r="A469" s="270">
        <v>2240702</v>
      </c>
      <c r="B469" s="284" t="s">
        <v>676</v>
      </c>
      <c r="C469" s="268">
        <v>0</v>
      </c>
      <c r="D469" s="268">
        <v>0</v>
      </c>
      <c r="E469" s="268">
        <v>0</v>
      </c>
      <c r="F469" s="273">
        <v>0</v>
      </c>
      <c r="G469" s="269">
        <v>0</v>
      </c>
      <c r="H469" s="273">
        <v>2.43</v>
      </c>
      <c r="I469" s="269">
        <f t="shared" si="48"/>
        <v>-1</v>
      </c>
      <c r="J469" s="273">
        <v>0</v>
      </c>
      <c r="K469" s="278"/>
    </row>
    <row r="470" ht="22" customHeight="1" spans="1:11">
      <c r="A470" s="270">
        <v>2240703</v>
      </c>
      <c r="B470" s="284" t="s">
        <v>677</v>
      </c>
      <c r="C470" s="268">
        <v>0</v>
      </c>
      <c r="D470" s="268">
        <v>0</v>
      </c>
      <c r="E470" s="268">
        <v>403</v>
      </c>
      <c r="F470" s="273">
        <v>0</v>
      </c>
      <c r="G470" s="269">
        <v>0</v>
      </c>
      <c r="H470" s="273">
        <v>0</v>
      </c>
      <c r="I470" s="269">
        <v>0</v>
      </c>
      <c r="J470" s="273">
        <v>0</v>
      </c>
      <c r="K470" s="278"/>
    </row>
    <row r="471" ht="22" customHeight="1" spans="1:11">
      <c r="A471" s="270">
        <v>2240799</v>
      </c>
      <c r="B471" s="284" t="s">
        <v>678</v>
      </c>
      <c r="C471" s="268">
        <v>50</v>
      </c>
      <c r="D471" s="268">
        <v>51.01723</v>
      </c>
      <c r="E471" s="268">
        <v>70.5</v>
      </c>
      <c r="F471" s="273">
        <v>11.01723</v>
      </c>
      <c r="G471" s="269">
        <f>F471/D471</f>
        <v>0.215951160029661</v>
      </c>
      <c r="H471" s="273">
        <v>0</v>
      </c>
      <c r="I471" s="269">
        <v>0</v>
      </c>
      <c r="J471" s="273">
        <v>0</v>
      </c>
      <c r="K471" s="278"/>
    </row>
    <row r="472" ht="22" customHeight="1" spans="1:11">
      <c r="A472" s="270">
        <v>22499</v>
      </c>
      <c r="B472" s="284" t="s">
        <v>219</v>
      </c>
      <c r="C472" s="268">
        <v>0</v>
      </c>
      <c r="D472" s="268">
        <v>0</v>
      </c>
      <c r="E472" s="268">
        <v>173</v>
      </c>
      <c r="F472" s="273">
        <v>0</v>
      </c>
      <c r="G472" s="269">
        <v>0</v>
      </c>
      <c r="H472" s="273">
        <v>0</v>
      </c>
      <c r="I472" s="269">
        <v>0</v>
      </c>
      <c r="J472" s="273">
        <v>0</v>
      </c>
      <c r="K472" s="278"/>
    </row>
    <row r="473" ht="22" customHeight="1" spans="1:11">
      <c r="A473" s="270">
        <v>2249999</v>
      </c>
      <c r="B473" s="284" t="s">
        <v>219</v>
      </c>
      <c r="C473" s="268">
        <v>0</v>
      </c>
      <c r="D473" s="268">
        <v>0</v>
      </c>
      <c r="E473" s="268">
        <v>173</v>
      </c>
      <c r="F473" s="273">
        <v>0</v>
      </c>
      <c r="G473" s="269">
        <v>0</v>
      </c>
      <c r="H473" s="273">
        <v>0</v>
      </c>
      <c r="I473" s="269">
        <v>0</v>
      </c>
      <c r="J473" s="273">
        <v>0</v>
      </c>
      <c r="K473" s="278"/>
    </row>
    <row r="474" ht="22" customHeight="1" spans="1:11">
      <c r="A474" s="270">
        <v>227</v>
      </c>
      <c r="B474" s="284" t="s">
        <v>220</v>
      </c>
      <c r="C474" s="268">
        <v>5000</v>
      </c>
      <c r="D474" s="268">
        <v>513.094163</v>
      </c>
      <c r="E474" s="268">
        <v>0</v>
      </c>
      <c r="F474" s="273">
        <v>0</v>
      </c>
      <c r="G474" s="269">
        <f>F474/D474</f>
        <v>0</v>
      </c>
      <c r="H474" s="273">
        <v>0</v>
      </c>
      <c r="I474" s="269">
        <v>0</v>
      </c>
      <c r="J474" s="273">
        <v>0</v>
      </c>
      <c r="K474" s="278"/>
    </row>
    <row r="475" ht="22" customHeight="1" spans="1:11">
      <c r="A475" s="270">
        <v>229</v>
      </c>
      <c r="B475" s="284" t="s">
        <v>679</v>
      </c>
      <c r="C475" s="268">
        <v>0</v>
      </c>
      <c r="D475" s="268">
        <v>7.566636</v>
      </c>
      <c r="E475" s="268">
        <v>151</v>
      </c>
      <c r="F475" s="273">
        <v>0</v>
      </c>
      <c r="G475" s="269">
        <f>F475/D475</f>
        <v>0</v>
      </c>
      <c r="H475" s="273">
        <v>220.635918</v>
      </c>
      <c r="I475" s="269">
        <f>(F475-H475)/H475</f>
        <v>-1</v>
      </c>
      <c r="J475" s="273">
        <v>144</v>
      </c>
      <c r="K475" s="278"/>
    </row>
    <row r="476" ht="22" customHeight="1" spans="1:11">
      <c r="A476" s="270">
        <v>22999</v>
      </c>
      <c r="B476" s="284" t="s">
        <v>680</v>
      </c>
      <c r="C476" s="268">
        <v>0</v>
      </c>
      <c r="D476" s="268">
        <v>7.566636</v>
      </c>
      <c r="E476" s="268">
        <v>151</v>
      </c>
      <c r="F476" s="273">
        <v>0</v>
      </c>
      <c r="G476" s="269">
        <f>F476/D476</f>
        <v>0</v>
      </c>
      <c r="H476" s="273">
        <v>220.635918</v>
      </c>
      <c r="I476" s="269">
        <f>(F476-H476)/H476</f>
        <v>-1</v>
      </c>
      <c r="J476" s="273">
        <v>144</v>
      </c>
      <c r="K476" s="278"/>
    </row>
    <row r="477" ht="22" customHeight="1" spans="1:11">
      <c r="A477" s="270">
        <v>2299901</v>
      </c>
      <c r="B477" s="284" t="s">
        <v>681</v>
      </c>
      <c r="C477" s="268">
        <v>0</v>
      </c>
      <c r="D477" s="268">
        <v>0</v>
      </c>
      <c r="E477" s="268">
        <v>0</v>
      </c>
      <c r="F477" s="273">
        <v>0</v>
      </c>
      <c r="G477" s="269">
        <v>0</v>
      </c>
      <c r="H477" s="273">
        <v>220.635918</v>
      </c>
      <c r="I477" s="269">
        <f>(F477-H477)/H477</f>
        <v>-1</v>
      </c>
      <c r="J477" s="273">
        <v>0</v>
      </c>
      <c r="K477" s="278"/>
    </row>
    <row r="478" ht="22" customHeight="1" spans="1:11">
      <c r="A478" s="270">
        <v>2299999</v>
      </c>
      <c r="B478" s="284" t="s">
        <v>280</v>
      </c>
      <c r="C478" s="268">
        <v>0</v>
      </c>
      <c r="D478" s="268">
        <v>7.566636</v>
      </c>
      <c r="E478" s="268">
        <v>151</v>
      </c>
      <c r="F478" s="273">
        <v>0</v>
      </c>
      <c r="G478" s="269">
        <f t="shared" ref="G478:G483" si="49">F478/D478</f>
        <v>0</v>
      </c>
      <c r="H478" s="273">
        <v>0</v>
      </c>
      <c r="I478" s="269">
        <v>0</v>
      </c>
      <c r="J478" s="273">
        <v>144</v>
      </c>
      <c r="K478" s="278"/>
    </row>
    <row r="479" ht="22" customHeight="1" spans="1:11">
      <c r="A479" s="270">
        <v>232</v>
      </c>
      <c r="B479" s="284" t="s">
        <v>682</v>
      </c>
      <c r="C479" s="268">
        <v>2700</v>
      </c>
      <c r="D479" s="268">
        <v>2748.3</v>
      </c>
      <c r="E479" s="268">
        <v>0</v>
      </c>
      <c r="F479" s="273">
        <v>2640.1617</v>
      </c>
      <c r="G479" s="269">
        <f t="shared" si="49"/>
        <v>0.960652658006768</v>
      </c>
      <c r="H479" s="273">
        <v>2599.34325</v>
      </c>
      <c r="I479" s="269">
        <f>(F479-H479)/H479</f>
        <v>0.0157033704571338</v>
      </c>
      <c r="J479" s="273">
        <v>0</v>
      </c>
      <c r="K479" s="278"/>
    </row>
    <row r="480" ht="22" customHeight="1" spans="1:11">
      <c r="A480" s="270">
        <v>23203</v>
      </c>
      <c r="B480" s="284" t="s">
        <v>683</v>
      </c>
      <c r="C480" s="268">
        <v>2700</v>
      </c>
      <c r="D480" s="268">
        <v>2748.3</v>
      </c>
      <c r="E480" s="268">
        <v>0</v>
      </c>
      <c r="F480" s="273">
        <v>2640.1617</v>
      </c>
      <c r="G480" s="269">
        <f t="shared" si="49"/>
        <v>0.960652658006768</v>
      </c>
      <c r="H480" s="273">
        <v>2599.34325</v>
      </c>
      <c r="I480" s="269">
        <f>(F480-H480)/H480</f>
        <v>0.0157033704571338</v>
      </c>
      <c r="J480" s="273">
        <v>0</v>
      </c>
      <c r="K480" s="278"/>
    </row>
    <row r="481" ht="22" customHeight="1" spans="1:11">
      <c r="A481" s="270">
        <v>2320301</v>
      </c>
      <c r="B481" s="284" t="s">
        <v>684</v>
      </c>
      <c r="C481" s="268">
        <v>2700</v>
      </c>
      <c r="D481" s="268">
        <v>2748.3</v>
      </c>
      <c r="E481" s="268">
        <v>0</v>
      </c>
      <c r="F481" s="273">
        <v>2640.1617</v>
      </c>
      <c r="G481" s="269">
        <f t="shared" si="49"/>
        <v>0.960652658006768</v>
      </c>
      <c r="H481" s="273">
        <v>2599.34325</v>
      </c>
      <c r="I481" s="269">
        <f>(F481-H481)/H481</f>
        <v>0.0157033704571338</v>
      </c>
      <c r="J481" s="273">
        <v>0</v>
      </c>
      <c r="K481" s="278"/>
    </row>
    <row r="482" ht="22" customHeight="1" spans="1:11">
      <c r="A482" s="270">
        <v>233</v>
      </c>
      <c r="B482" s="284" t="s">
        <v>685</v>
      </c>
      <c r="C482" s="268">
        <v>30</v>
      </c>
      <c r="D482" s="268">
        <v>30.0024</v>
      </c>
      <c r="E482" s="268">
        <v>0</v>
      </c>
      <c r="F482" s="273">
        <v>17.284399</v>
      </c>
      <c r="G482" s="269">
        <f t="shared" si="49"/>
        <v>0.57610054528971</v>
      </c>
      <c r="H482" s="273">
        <v>16.98875</v>
      </c>
      <c r="I482" s="269">
        <f>(F482-H482)/H482</f>
        <v>0.0174026340960931</v>
      </c>
      <c r="J482" s="273">
        <v>0</v>
      </c>
      <c r="K482" s="278"/>
    </row>
    <row r="483" ht="22" customHeight="1" spans="1:11">
      <c r="A483" s="270">
        <v>23303</v>
      </c>
      <c r="B483" s="284" t="s">
        <v>686</v>
      </c>
      <c r="C483" s="268">
        <v>30</v>
      </c>
      <c r="D483" s="268">
        <v>30.0024</v>
      </c>
      <c r="E483" s="268">
        <v>0</v>
      </c>
      <c r="F483" s="273">
        <v>17.284399</v>
      </c>
      <c r="G483" s="269">
        <f t="shared" si="49"/>
        <v>0.57610054528971</v>
      </c>
      <c r="H483" s="268">
        <v>16.98875</v>
      </c>
      <c r="I483" s="269">
        <f>(F483-H483)/H483</f>
        <v>0.0174026340960931</v>
      </c>
      <c r="J483" s="273">
        <v>0</v>
      </c>
      <c r="K483" s="278"/>
    </row>
  </sheetData>
  <mergeCells count="17">
    <mergeCell ref="A2:I2"/>
    <mergeCell ref="A4:B4"/>
    <mergeCell ref="C4:E4"/>
    <mergeCell ref="F4:J4"/>
    <mergeCell ref="A7:B7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K7:K8"/>
  </mergeCells>
  <conditionalFormatting sqref="A8:A483">
    <cfRule type="duplicateValues" dxfId="0" priority="1"/>
  </conditionalFormatting>
  <pageMargins left="0.708333333333333" right="0.314583333333333" top="0.747916666666667" bottom="0.747916666666667" header="0.314583333333333" footer="0.314583333333333"/>
  <pageSetup paperSize="9" scale="50" fitToHeight="0" orientation="portrait" horizontalDpi="600"/>
  <headerFooter>
    <oddFooter>&amp;C第 &amp;P 页，共 &amp;N 页</oddFooter>
  </headerFooter>
  <ignoredErrors>
    <ignoredError sqref="G7" formula="1"/>
    <ignoredError sqref="J159 E159:F159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51"/>
  <sheetViews>
    <sheetView workbookViewId="0">
      <pane ySplit="3" topLeftCell="A4" activePane="bottomLeft" state="frozen"/>
      <selection/>
      <selection pane="bottomLeft" activeCell="C6" sqref="C6"/>
    </sheetView>
  </sheetViews>
  <sheetFormatPr defaultColWidth="9" defaultRowHeight="14.25" outlineLevelCol="3"/>
  <cols>
    <col min="1" max="1" width="17.25" customWidth="1"/>
    <col min="2" max="2" width="29.5" customWidth="1"/>
    <col min="3" max="3" width="16.5" customWidth="1"/>
    <col min="4" max="4" width="16.875" customWidth="1"/>
    <col min="7" max="7" width="12.625"/>
  </cols>
  <sheetData>
    <row r="1" ht="18" customHeight="1" spans="1:1">
      <c r="A1" s="1" t="s">
        <v>13</v>
      </c>
    </row>
    <row r="2" ht="46.5" customHeight="1" spans="1:4">
      <c r="A2" s="241" t="s">
        <v>687</v>
      </c>
      <c r="B2" s="241"/>
      <c r="C2" s="242"/>
      <c r="D2" s="242"/>
    </row>
    <row r="3" ht="21.75" customHeight="1" spans="1:4">
      <c r="A3" s="230"/>
      <c r="B3" s="231"/>
      <c r="C3" s="243"/>
      <c r="D3" s="244" t="s">
        <v>38</v>
      </c>
    </row>
    <row r="4" ht="13.5" customHeight="1" spans="1:4">
      <c r="A4" s="233" t="s">
        <v>39</v>
      </c>
      <c r="B4" s="233" t="s">
        <v>40</v>
      </c>
      <c r="C4" s="245" t="s">
        <v>227</v>
      </c>
      <c r="D4" s="246" t="s">
        <v>228</v>
      </c>
    </row>
    <row r="5" spans="1:4">
      <c r="A5" s="235"/>
      <c r="B5" s="235"/>
      <c r="C5" s="246"/>
      <c r="D5" s="247"/>
    </row>
    <row r="6" spans="1:4">
      <c r="A6" s="240"/>
      <c r="B6" s="238" t="s">
        <v>227</v>
      </c>
      <c r="C6" s="137">
        <f>C7+C12+C22+C27+C31+C34+C36+C39+C45+C47+C50+A6</f>
        <v>149787.110602</v>
      </c>
      <c r="D6" s="137">
        <f>D7+D12+D22+D27+D31+D34+D36+D39+D45+D47+D50</f>
        <v>105580.240979</v>
      </c>
    </row>
    <row r="7" spans="1:4">
      <c r="A7" s="239">
        <v>501</v>
      </c>
      <c r="B7" s="239" t="s">
        <v>231</v>
      </c>
      <c r="C7" s="137">
        <f>SUM(C8:C11)</f>
        <v>31094.292651</v>
      </c>
      <c r="D7" s="137">
        <f>SUM(D8:D11)</f>
        <v>25934.830967</v>
      </c>
    </row>
    <row r="8" spans="1:4">
      <c r="A8" s="240">
        <v>50101</v>
      </c>
      <c r="B8" s="240" t="s">
        <v>688</v>
      </c>
      <c r="C8" s="137">
        <v>21820.619781</v>
      </c>
      <c r="D8" s="137">
        <v>17729.623451</v>
      </c>
    </row>
    <row r="9" spans="1:4">
      <c r="A9" s="240">
        <v>50102</v>
      </c>
      <c r="B9" s="240" t="s">
        <v>689</v>
      </c>
      <c r="C9" s="137">
        <v>2250.42889</v>
      </c>
      <c r="D9" s="137">
        <v>2033.048719</v>
      </c>
    </row>
    <row r="10" spans="1:4">
      <c r="A10" s="240">
        <v>50103</v>
      </c>
      <c r="B10" s="240" t="s">
        <v>690</v>
      </c>
      <c r="C10" s="137">
        <v>1648.86706</v>
      </c>
      <c r="D10" s="137">
        <v>1648.86706</v>
      </c>
    </row>
    <row r="11" spans="1:4">
      <c r="A11" s="240">
        <v>50199</v>
      </c>
      <c r="B11" s="240" t="s">
        <v>691</v>
      </c>
      <c r="C11" s="137">
        <v>5374.37692</v>
      </c>
      <c r="D11" s="137">
        <v>4523.291737</v>
      </c>
    </row>
    <row r="12" spans="1:4">
      <c r="A12" s="239">
        <v>502</v>
      </c>
      <c r="B12" s="239" t="s">
        <v>236</v>
      </c>
      <c r="C12" s="137">
        <f>SUM(C13:C21)</f>
        <v>8538.272949</v>
      </c>
      <c r="D12" s="137">
        <f>SUM(D13:D21)</f>
        <v>2503.855839</v>
      </c>
    </row>
    <row r="13" spans="1:4">
      <c r="A13" s="240">
        <v>50201</v>
      </c>
      <c r="B13" s="240" t="s">
        <v>692</v>
      </c>
      <c r="C13" s="137">
        <v>4250.67</v>
      </c>
      <c r="D13" s="137">
        <v>1717.615555</v>
      </c>
    </row>
    <row r="14" spans="1:4">
      <c r="A14" s="240">
        <v>50202</v>
      </c>
      <c r="B14" s="240" t="s">
        <v>693</v>
      </c>
      <c r="C14" s="137">
        <v>93.5602</v>
      </c>
      <c r="D14" s="137">
        <v>5.0115</v>
      </c>
    </row>
    <row r="15" spans="1:4">
      <c r="A15" s="240">
        <v>50203</v>
      </c>
      <c r="B15" s="240" t="s">
        <v>694</v>
      </c>
      <c r="C15" s="137">
        <v>100.81</v>
      </c>
      <c r="D15" s="137">
        <v>44.049546</v>
      </c>
    </row>
    <row r="16" spans="1:4">
      <c r="A16" s="240">
        <v>50204</v>
      </c>
      <c r="B16" s="240" t="s">
        <v>695</v>
      </c>
      <c r="C16" s="137">
        <v>180.38</v>
      </c>
      <c r="D16" s="137">
        <v>61.361409</v>
      </c>
    </row>
    <row r="17" spans="1:4">
      <c r="A17" s="240">
        <v>50205</v>
      </c>
      <c r="B17" s="240" t="s">
        <v>696</v>
      </c>
      <c r="C17" s="137">
        <v>1033.943233</v>
      </c>
      <c r="D17" s="137">
        <v>222.415651</v>
      </c>
    </row>
    <row r="18" spans="1:4">
      <c r="A18" s="240">
        <v>50206</v>
      </c>
      <c r="B18" s="240" t="s">
        <v>697</v>
      </c>
      <c r="C18" s="137">
        <v>43.599916</v>
      </c>
      <c r="D18" s="137">
        <v>23.429619</v>
      </c>
    </row>
    <row r="19" spans="1:4">
      <c r="A19" s="240">
        <v>50208</v>
      </c>
      <c r="B19" s="240" t="s">
        <v>698</v>
      </c>
      <c r="C19" s="137">
        <v>423.265079</v>
      </c>
      <c r="D19" s="137">
        <v>189.259854</v>
      </c>
    </row>
    <row r="20" spans="1:4">
      <c r="A20" s="240">
        <v>50209</v>
      </c>
      <c r="B20" s="240" t="s">
        <v>699</v>
      </c>
      <c r="C20" s="137">
        <v>285.474441</v>
      </c>
      <c r="D20" s="137">
        <v>53.90706</v>
      </c>
    </row>
    <row r="21" spans="1:4">
      <c r="A21" s="240">
        <v>50299</v>
      </c>
      <c r="B21" s="240" t="s">
        <v>700</v>
      </c>
      <c r="C21" s="137">
        <v>2126.57008</v>
      </c>
      <c r="D21" s="137">
        <v>186.805645</v>
      </c>
    </row>
    <row r="22" spans="1:4">
      <c r="A22" s="239">
        <v>503</v>
      </c>
      <c r="B22" s="239" t="s">
        <v>701</v>
      </c>
      <c r="C22" s="137">
        <f>SUM(C23:C26)</f>
        <v>2158.921183</v>
      </c>
      <c r="D22" s="137">
        <f>SUM(D23:D26)</f>
        <v>49.51243</v>
      </c>
    </row>
    <row r="23" spans="1:4">
      <c r="A23" s="240">
        <v>50302</v>
      </c>
      <c r="B23" s="240" t="s">
        <v>702</v>
      </c>
      <c r="C23" s="137">
        <v>1719.392505</v>
      </c>
      <c r="D23" s="137">
        <v>1</v>
      </c>
    </row>
    <row r="24" spans="1:4">
      <c r="A24" s="240">
        <v>50303</v>
      </c>
      <c r="B24" s="240" t="s">
        <v>703</v>
      </c>
      <c r="C24" s="137">
        <v>10.244317</v>
      </c>
      <c r="D24" s="137">
        <v>0</v>
      </c>
    </row>
    <row r="25" spans="1:4">
      <c r="A25" s="240">
        <v>50306</v>
      </c>
      <c r="B25" s="240" t="s">
        <v>704</v>
      </c>
      <c r="C25" s="137">
        <v>331.284361</v>
      </c>
      <c r="D25" s="137">
        <v>48.51243</v>
      </c>
    </row>
    <row r="26" spans="1:4">
      <c r="A26" s="240">
        <v>50399</v>
      </c>
      <c r="B26" s="240" t="s">
        <v>705</v>
      </c>
      <c r="C26" s="137">
        <v>98</v>
      </c>
      <c r="D26" s="137">
        <v>0</v>
      </c>
    </row>
    <row r="27" spans="1:4">
      <c r="A27" s="239">
        <v>504</v>
      </c>
      <c r="B27" s="239" t="s">
        <v>706</v>
      </c>
      <c r="C27" s="137">
        <f>SUM(C28:C30)</f>
        <v>282.4819</v>
      </c>
      <c r="D27" s="137">
        <f>SUM(D28:D30)</f>
        <v>6.603</v>
      </c>
    </row>
    <row r="28" spans="1:4">
      <c r="A28" s="240">
        <v>50402</v>
      </c>
      <c r="B28" s="240" t="s">
        <v>702</v>
      </c>
      <c r="C28" s="137">
        <v>268.7</v>
      </c>
      <c r="D28" s="137">
        <v>0</v>
      </c>
    </row>
    <row r="29" spans="1:4">
      <c r="A29" s="240">
        <v>50404</v>
      </c>
      <c r="B29" s="240" t="s">
        <v>704</v>
      </c>
      <c r="C29" s="137">
        <v>12.603</v>
      </c>
      <c r="D29" s="137">
        <v>6.603</v>
      </c>
    </row>
    <row r="30" spans="1:4">
      <c r="A30" s="240">
        <v>50499</v>
      </c>
      <c r="B30" s="240" t="s">
        <v>705</v>
      </c>
      <c r="C30" s="137">
        <v>1.1789</v>
      </c>
      <c r="D30" s="137">
        <v>0</v>
      </c>
    </row>
    <row r="31" spans="1:4">
      <c r="A31" s="239">
        <v>505</v>
      </c>
      <c r="B31" s="239" t="s">
        <v>252</v>
      </c>
      <c r="C31" s="137">
        <f>SUM(C32:C33)</f>
        <v>75311.229696</v>
      </c>
      <c r="D31" s="137">
        <f>SUM(D32:D33)</f>
        <v>68411.04365</v>
      </c>
    </row>
    <row r="32" spans="1:4">
      <c r="A32" s="240">
        <v>50501</v>
      </c>
      <c r="B32" s="240" t="s">
        <v>707</v>
      </c>
      <c r="C32" s="137">
        <v>68611.394108</v>
      </c>
      <c r="D32" s="137">
        <v>67144.662622</v>
      </c>
    </row>
    <row r="33" spans="1:4">
      <c r="A33" s="240">
        <v>50502</v>
      </c>
      <c r="B33" s="240" t="s">
        <v>708</v>
      </c>
      <c r="C33" s="137">
        <v>6699.835588</v>
      </c>
      <c r="D33" s="137">
        <v>1266.381028</v>
      </c>
    </row>
    <row r="34" spans="1:4">
      <c r="A34" s="239">
        <v>506</v>
      </c>
      <c r="B34" s="239" t="s">
        <v>255</v>
      </c>
      <c r="C34" s="137">
        <v>2721.528568</v>
      </c>
      <c r="D34" s="137">
        <f>SUM(D35:D35)</f>
        <v>0.01</v>
      </c>
    </row>
    <row r="35" spans="1:4">
      <c r="A35" s="240">
        <v>50601</v>
      </c>
      <c r="B35" s="240" t="s">
        <v>709</v>
      </c>
      <c r="C35" s="137">
        <v>2721.528568</v>
      </c>
      <c r="D35" s="137">
        <v>0.01</v>
      </c>
    </row>
    <row r="36" spans="1:4">
      <c r="A36" s="239">
        <v>507</v>
      </c>
      <c r="B36" s="239" t="s">
        <v>257</v>
      </c>
      <c r="C36" s="137">
        <f>SUM(C37:C38)</f>
        <v>5680.5908</v>
      </c>
      <c r="D36" s="137">
        <v>0</v>
      </c>
    </row>
    <row r="37" spans="1:4">
      <c r="A37" s="240">
        <v>50702</v>
      </c>
      <c r="B37" s="240" t="s">
        <v>710</v>
      </c>
      <c r="C37" s="137">
        <v>50</v>
      </c>
      <c r="D37" s="137">
        <v>0</v>
      </c>
    </row>
    <row r="38" spans="1:4">
      <c r="A38" s="240">
        <v>50799</v>
      </c>
      <c r="B38" s="240" t="s">
        <v>711</v>
      </c>
      <c r="C38" s="137">
        <v>5630.5908</v>
      </c>
      <c r="D38" s="137">
        <v>0</v>
      </c>
    </row>
    <row r="39" spans="1:4">
      <c r="A39" s="239">
        <v>509</v>
      </c>
      <c r="B39" s="239" t="s">
        <v>261</v>
      </c>
      <c r="C39" s="137">
        <f>SUM(C40:C44)</f>
        <v>19907.945133</v>
      </c>
      <c r="D39" s="137">
        <f>SUM(D40:D44)</f>
        <v>8674.385093</v>
      </c>
    </row>
    <row r="40" spans="1:4">
      <c r="A40" s="240">
        <v>50901</v>
      </c>
      <c r="B40" s="240" t="s">
        <v>712</v>
      </c>
      <c r="C40" s="137">
        <v>5825.215568</v>
      </c>
      <c r="D40" s="137">
        <v>781.262559</v>
      </c>
    </row>
    <row r="41" spans="1:4">
      <c r="A41" s="240">
        <v>50902</v>
      </c>
      <c r="B41" s="240" t="s">
        <v>713</v>
      </c>
      <c r="C41" s="137">
        <v>971.029493</v>
      </c>
      <c r="D41" s="137">
        <v>0</v>
      </c>
    </row>
    <row r="42" spans="1:4">
      <c r="A42" s="240">
        <v>50903</v>
      </c>
      <c r="B42" s="240" t="s">
        <v>714</v>
      </c>
      <c r="C42" s="137">
        <v>39.808215</v>
      </c>
      <c r="D42" s="137">
        <v>0</v>
      </c>
    </row>
    <row r="43" spans="1:4">
      <c r="A43" s="240">
        <v>50905</v>
      </c>
      <c r="B43" s="240" t="s">
        <v>715</v>
      </c>
      <c r="C43" s="137">
        <v>7888.945894</v>
      </c>
      <c r="D43" s="137">
        <v>7857.319894</v>
      </c>
    </row>
    <row r="44" spans="1:4">
      <c r="A44" s="240">
        <v>50999</v>
      </c>
      <c r="B44" s="240" t="s">
        <v>716</v>
      </c>
      <c r="C44" s="137">
        <v>5182.945963</v>
      </c>
      <c r="D44" s="137">
        <v>35.80264</v>
      </c>
    </row>
    <row r="45" spans="1:4">
      <c r="A45" s="239">
        <v>510</v>
      </c>
      <c r="B45" s="239" t="s">
        <v>267</v>
      </c>
      <c r="C45" s="137">
        <v>803.080253</v>
      </c>
      <c r="D45" s="137">
        <v>0</v>
      </c>
    </row>
    <row r="46" spans="1:4">
      <c r="A46" s="240">
        <v>51002</v>
      </c>
      <c r="B46" s="240" t="s">
        <v>717</v>
      </c>
      <c r="C46" s="137">
        <v>803.080253</v>
      </c>
      <c r="D46" s="137">
        <v>0</v>
      </c>
    </row>
    <row r="47" spans="1:4">
      <c r="A47" s="239">
        <v>511</v>
      </c>
      <c r="B47" s="239" t="s">
        <v>271</v>
      </c>
      <c r="C47" s="137">
        <f>SUM(C48:C49)</f>
        <v>2657.446099</v>
      </c>
      <c r="D47" s="137">
        <v>0</v>
      </c>
    </row>
    <row r="48" spans="1:4">
      <c r="A48" s="240">
        <v>51101</v>
      </c>
      <c r="B48" s="240" t="s">
        <v>718</v>
      </c>
      <c r="C48" s="137">
        <v>2640.216822</v>
      </c>
      <c r="D48" s="137">
        <v>0</v>
      </c>
    </row>
    <row r="49" spans="1:4">
      <c r="A49" s="240">
        <v>51103</v>
      </c>
      <c r="B49" s="240" t="s">
        <v>719</v>
      </c>
      <c r="C49" s="137">
        <v>17.229277</v>
      </c>
      <c r="D49" s="137">
        <v>0</v>
      </c>
    </row>
    <row r="50" spans="1:4">
      <c r="A50" s="239">
        <v>599</v>
      </c>
      <c r="B50" s="239" t="s">
        <v>276</v>
      </c>
      <c r="C50" s="137">
        <f>SUM(C51:C51)</f>
        <v>631.32137</v>
      </c>
      <c r="D50" s="137">
        <f>SUM(D51:D51)</f>
        <v>0</v>
      </c>
    </row>
    <row r="51" spans="1:4">
      <c r="A51" s="240">
        <v>59999</v>
      </c>
      <c r="B51" s="240" t="s">
        <v>276</v>
      </c>
      <c r="C51" s="137">
        <v>631.32137</v>
      </c>
      <c r="D51" s="137">
        <v>0</v>
      </c>
    </row>
  </sheetData>
  <mergeCells count="5">
    <mergeCell ref="A2:D2"/>
    <mergeCell ref="A4:A5"/>
    <mergeCell ref="B4:B5"/>
    <mergeCell ref="C4:C5"/>
    <mergeCell ref="D4:D5"/>
  </mergeCells>
  <pageMargins left="0.550694444444444" right="0.432638888888889" top="0.590277777777778" bottom="0.786805555555556" header="0.511805555555556" footer="0.511805555555556"/>
  <pageSetup paperSize="9" fitToHeight="0" orientation="portrait" horizontalDpi="600"/>
  <headerFooter alignWithMargins="0" scaleWithDoc="0">
    <oddFooter>&amp;C第 &amp;P 页，共 &amp;N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35"/>
  <sheetViews>
    <sheetView workbookViewId="0">
      <pane ySplit="3" topLeftCell="A4" activePane="bottomLeft" state="frozen"/>
      <selection/>
      <selection pane="bottomLeft" activeCell="E39" sqref="E39"/>
    </sheetView>
  </sheetViews>
  <sheetFormatPr defaultColWidth="9" defaultRowHeight="14.25" outlineLevelCol="2"/>
  <cols>
    <col min="1" max="1" width="13.75" customWidth="1"/>
    <col min="2" max="2" width="36" customWidth="1"/>
    <col min="3" max="3" width="21.75" customWidth="1"/>
  </cols>
  <sheetData>
    <row r="1" ht="18" customHeight="1" spans="1:1">
      <c r="A1" s="1" t="s">
        <v>15</v>
      </c>
    </row>
    <row r="2" ht="46.5" customHeight="1" spans="1:3">
      <c r="A2" s="144" t="s">
        <v>16</v>
      </c>
      <c r="B2" s="144"/>
      <c r="C2" s="145"/>
    </row>
    <row r="3" ht="21.75" customHeight="1" spans="1:3">
      <c r="A3" s="230"/>
      <c r="B3" s="231"/>
      <c r="C3" s="232" t="s">
        <v>38</v>
      </c>
    </row>
    <row r="4" ht="13.5" customHeight="1" spans="1:3">
      <c r="A4" s="233" t="s">
        <v>39</v>
      </c>
      <c r="B4" s="233" t="s">
        <v>40</v>
      </c>
      <c r="C4" s="234" t="s">
        <v>720</v>
      </c>
    </row>
    <row r="5" spans="1:3">
      <c r="A5" s="235"/>
      <c r="B5" s="235"/>
      <c r="C5" s="236"/>
    </row>
    <row r="6" ht="13" customHeight="1" spans="1:3">
      <c r="A6" s="237"/>
      <c r="B6" s="238" t="s">
        <v>227</v>
      </c>
      <c r="C6" s="160">
        <f>C7+C12+C22+C25+C27+C30+C32</f>
        <v>105580.240979</v>
      </c>
    </row>
    <row r="7" spans="1:3">
      <c r="A7" s="239">
        <v>501</v>
      </c>
      <c r="B7" s="239" t="s">
        <v>231</v>
      </c>
      <c r="C7" s="160">
        <v>25934.830967</v>
      </c>
    </row>
    <row r="8" spans="1:3">
      <c r="A8" s="240">
        <v>50101</v>
      </c>
      <c r="B8" s="240" t="s">
        <v>688</v>
      </c>
      <c r="C8" s="160">
        <v>17729.623451</v>
      </c>
    </row>
    <row r="9" spans="1:3">
      <c r="A9" s="240">
        <v>50102</v>
      </c>
      <c r="B9" s="240" t="s">
        <v>689</v>
      </c>
      <c r="C9" s="160">
        <v>2033.048719</v>
      </c>
    </row>
    <row r="10" spans="1:3">
      <c r="A10" s="240">
        <v>50103</v>
      </c>
      <c r="B10" s="240" t="s">
        <v>690</v>
      </c>
      <c r="C10" s="160">
        <v>1648.86706</v>
      </c>
    </row>
    <row r="11" spans="1:3">
      <c r="A11" s="240">
        <v>50199</v>
      </c>
      <c r="B11" s="240" t="s">
        <v>691</v>
      </c>
      <c r="C11" s="160">
        <v>4523.291737</v>
      </c>
    </row>
    <row r="12" spans="1:3">
      <c r="A12" s="239">
        <v>502</v>
      </c>
      <c r="B12" s="239" t="s">
        <v>236</v>
      </c>
      <c r="C12" s="160">
        <v>2503.855839</v>
      </c>
    </row>
    <row r="13" spans="1:3">
      <c r="A13" s="240">
        <v>50201</v>
      </c>
      <c r="B13" s="240" t="s">
        <v>692</v>
      </c>
      <c r="C13" s="160">
        <v>1717.615555</v>
      </c>
    </row>
    <row r="14" spans="1:3">
      <c r="A14" s="240">
        <v>50202</v>
      </c>
      <c r="B14" s="240" t="s">
        <v>693</v>
      </c>
      <c r="C14" s="160">
        <v>5.0115</v>
      </c>
    </row>
    <row r="15" spans="1:3">
      <c r="A15" s="240">
        <v>50203</v>
      </c>
      <c r="B15" s="240" t="s">
        <v>694</v>
      </c>
      <c r="C15" s="160">
        <v>44.049546</v>
      </c>
    </row>
    <row r="16" spans="1:3">
      <c r="A16" s="240">
        <v>50204</v>
      </c>
      <c r="B16" s="240" t="s">
        <v>695</v>
      </c>
      <c r="C16" s="160">
        <v>61.361409</v>
      </c>
    </row>
    <row r="17" spans="1:3">
      <c r="A17" s="240">
        <v>50205</v>
      </c>
      <c r="B17" s="240" t="s">
        <v>696</v>
      </c>
      <c r="C17" s="160">
        <v>222.415651</v>
      </c>
    </row>
    <row r="18" spans="1:3">
      <c r="A18" s="240">
        <v>50206</v>
      </c>
      <c r="B18" s="240" t="s">
        <v>697</v>
      </c>
      <c r="C18" s="160">
        <v>23.429619</v>
      </c>
    </row>
    <row r="19" spans="1:3">
      <c r="A19" s="240">
        <v>50208</v>
      </c>
      <c r="B19" s="240" t="s">
        <v>698</v>
      </c>
      <c r="C19" s="160">
        <v>189.259854</v>
      </c>
    </row>
    <row r="20" spans="1:3">
      <c r="A20" s="240">
        <v>50209</v>
      </c>
      <c r="B20" s="240" t="s">
        <v>699</v>
      </c>
      <c r="C20" s="160">
        <v>53.90706</v>
      </c>
    </row>
    <row r="21" spans="1:3">
      <c r="A21" s="240">
        <v>50299</v>
      </c>
      <c r="B21" s="240" t="s">
        <v>700</v>
      </c>
      <c r="C21" s="160">
        <v>186.805645</v>
      </c>
    </row>
    <row r="22" spans="1:3">
      <c r="A22" s="239">
        <v>503</v>
      </c>
      <c r="B22" s="239" t="s">
        <v>701</v>
      </c>
      <c r="C22" s="160">
        <v>49.51243</v>
      </c>
    </row>
    <row r="23" spans="1:3">
      <c r="A23" s="240">
        <v>50302</v>
      </c>
      <c r="B23" s="240" t="s">
        <v>702</v>
      </c>
      <c r="C23" s="160">
        <v>1</v>
      </c>
    </row>
    <row r="24" spans="1:3">
      <c r="A24" s="240">
        <v>50306</v>
      </c>
      <c r="B24" s="240" t="s">
        <v>704</v>
      </c>
      <c r="C24" s="160">
        <v>48.51243</v>
      </c>
    </row>
    <row r="25" spans="1:3">
      <c r="A25" s="239">
        <v>504</v>
      </c>
      <c r="B25" s="239" t="s">
        <v>706</v>
      </c>
      <c r="C25" s="160">
        <v>6.603</v>
      </c>
    </row>
    <row r="26" spans="1:3">
      <c r="A26" s="240">
        <v>50404</v>
      </c>
      <c r="B26" s="240" t="s">
        <v>704</v>
      </c>
      <c r="C26" s="160">
        <v>6.603</v>
      </c>
    </row>
    <row r="27" spans="1:3">
      <c r="A27" s="239">
        <v>505</v>
      </c>
      <c r="B27" s="239" t="s">
        <v>252</v>
      </c>
      <c r="C27" s="160">
        <v>68411.04365</v>
      </c>
    </row>
    <row r="28" spans="1:3">
      <c r="A28" s="240">
        <v>50501</v>
      </c>
      <c r="B28" s="240" t="s">
        <v>707</v>
      </c>
      <c r="C28" s="160">
        <v>67144.662622</v>
      </c>
    </row>
    <row r="29" spans="1:3">
      <c r="A29" s="240">
        <v>50502</v>
      </c>
      <c r="B29" s="239" t="s">
        <v>708</v>
      </c>
      <c r="C29" s="160">
        <v>1266.381028</v>
      </c>
    </row>
    <row r="30" spans="1:3">
      <c r="A30" s="239">
        <v>506</v>
      </c>
      <c r="B30" s="239" t="s">
        <v>255</v>
      </c>
      <c r="C30" s="160">
        <v>0.01</v>
      </c>
    </row>
    <row r="31" spans="1:3">
      <c r="A31" s="240">
        <v>50601</v>
      </c>
      <c r="B31" s="240" t="s">
        <v>709</v>
      </c>
      <c r="C31" s="160">
        <v>0.01</v>
      </c>
    </row>
    <row r="32" spans="1:3">
      <c r="A32" s="239">
        <v>509</v>
      </c>
      <c r="B32" s="239" t="s">
        <v>261</v>
      </c>
      <c r="C32" s="160">
        <v>8674.385093</v>
      </c>
    </row>
    <row r="33" spans="1:3">
      <c r="A33" s="240">
        <v>50901</v>
      </c>
      <c r="B33" s="240" t="s">
        <v>712</v>
      </c>
      <c r="C33" s="160">
        <v>781.262559</v>
      </c>
    </row>
    <row r="34" spans="1:3">
      <c r="A34" s="240">
        <v>50905</v>
      </c>
      <c r="B34" s="240" t="s">
        <v>715</v>
      </c>
      <c r="C34" s="160">
        <v>7857.319894</v>
      </c>
    </row>
    <row r="35" spans="1:3">
      <c r="A35" s="240">
        <v>50999</v>
      </c>
      <c r="B35" s="240" t="s">
        <v>716</v>
      </c>
      <c r="C35" s="160">
        <v>35.80264</v>
      </c>
    </row>
  </sheetData>
  <mergeCells count="4">
    <mergeCell ref="A2:C2"/>
    <mergeCell ref="A4:A5"/>
    <mergeCell ref="B4:B5"/>
    <mergeCell ref="C4:C5"/>
  </mergeCells>
  <printOptions horizontalCentered="1"/>
  <pageMargins left="0.550694444444444" right="0.432638888888889" top="0.590277777777778" bottom="0.786805555555556" header="0.511805555555556" footer="0.511805555555556"/>
  <pageSetup paperSize="9" fitToHeight="0" orientation="portrait" horizontalDpi="600"/>
  <headerFooter alignWithMargins="0" scaleWithDoc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1"/>
  <sheetViews>
    <sheetView workbookViewId="0">
      <selection activeCell="D29" sqref="D29"/>
    </sheetView>
  </sheetViews>
  <sheetFormatPr defaultColWidth="9" defaultRowHeight="14.25" outlineLevelCol="1"/>
  <cols>
    <col min="1" max="1" width="53" customWidth="1"/>
    <col min="2" max="2" width="26.125" customWidth="1"/>
  </cols>
  <sheetData>
    <row r="1" spans="1:1">
      <c r="A1" s="80" t="s">
        <v>17</v>
      </c>
    </row>
    <row r="2" ht="46.5" customHeight="1" spans="1:2">
      <c r="A2" s="129" t="s">
        <v>721</v>
      </c>
      <c r="B2" s="212"/>
    </row>
    <row r="3" spans="1:2">
      <c r="A3" s="213" t="s">
        <v>38</v>
      </c>
      <c r="B3" s="214"/>
    </row>
    <row r="4" spans="1:2">
      <c r="A4" s="132" t="s">
        <v>722</v>
      </c>
      <c r="B4" s="215" t="s">
        <v>723</v>
      </c>
    </row>
    <row r="5" ht="15" customHeight="1" spans="1:2">
      <c r="A5" s="132"/>
      <c r="B5" s="215"/>
    </row>
    <row r="6" ht="21" customHeight="1" spans="1:2">
      <c r="A6" s="216" t="s">
        <v>724</v>
      </c>
      <c r="B6" s="217">
        <f>B7+B12+B32</f>
        <v>175299</v>
      </c>
    </row>
    <row r="7" ht="21" customHeight="1" spans="1:2">
      <c r="A7" s="218" t="s">
        <v>725</v>
      </c>
      <c r="B7" s="217">
        <f>SUM(B8:B11)</f>
        <v>3318</v>
      </c>
    </row>
    <row r="8" ht="21" customHeight="1" spans="1:2">
      <c r="A8" s="219" t="s">
        <v>726</v>
      </c>
      <c r="B8" s="220">
        <f>1827+8</f>
        <v>1835</v>
      </c>
    </row>
    <row r="9" ht="21" customHeight="1" spans="1:2">
      <c r="A9" s="219" t="s">
        <v>727</v>
      </c>
      <c r="B9" s="220">
        <v>258</v>
      </c>
    </row>
    <row r="10" ht="21" customHeight="1" spans="1:2">
      <c r="A10" s="219" t="s">
        <v>728</v>
      </c>
      <c r="B10" s="220">
        <v>285</v>
      </c>
    </row>
    <row r="11" ht="21" customHeight="1" spans="1:2">
      <c r="A11" s="219" t="s">
        <v>729</v>
      </c>
      <c r="B11" s="220">
        <v>940</v>
      </c>
    </row>
    <row r="12" ht="21" customHeight="1" spans="1:2">
      <c r="A12" s="221" t="s">
        <v>730</v>
      </c>
      <c r="B12" s="222">
        <f>SUM(B13:B31)</f>
        <v>130651</v>
      </c>
    </row>
    <row r="13" ht="21" customHeight="1" spans="1:2">
      <c r="A13" s="223" t="s">
        <v>731</v>
      </c>
      <c r="B13" s="220">
        <v>23172</v>
      </c>
    </row>
    <row r="14" ht="21" customHeight="1" spans="1:2">
      <c r="A14" s="223" t="s">
        <v>732</v>
      </c>
      <c r="B14" s="220">
        <v>13298</v>
      </c>
    </row>
    <row r="15" ht="21" customHeight="1" spans="1:2">
      <c r="A15" s="223" t="s">
        <v>733</v>
      </c>
      <c r="B15" s="220">
        <v>6479</v>
      </c>
    </row>
    <row r="16" ht="21" customHeight="1" spans="1:2">
      <c r="A16" s="223" t="s">
        <v>734</v>
      </c>
      <c r="B16" s="220">
        <v>2438</v>
      </c>
    </row>
    <row r="17" ht="21" customHeight="1" spans="1:2">
      <c r="A17" s="223" t="s">
        <v>735</v>
      </c>
      <c r="B17" s="220">
        <v>24747</v>
      </c>
    </row>
    <row r="18" ht="21" customHeight="1" spans="1:2">
      <c r="A18" s="223" t="s">
        <v>736</v>
      </c>
      <c r="B18" s="220">
        <v>4047</v>
      </c>
    </row>
    <row r="19" ht="21" customHeight="1" spans="1:2">
      <c r="A19" s="223" t="s">
        <v>737</v>
      </c>
      <c r="B19" s="220">
        <v>2663</v>
      </c>
    </row>
    <row r="20" ht="21" customHeight="1" spans="1:2">
      <c r="A20" s="223" t="s">
        <v>738</v>
      </c>
      <c r="B20" s="220">
        <v>1166</v>
      </c>
    </row>
    <row r="21" ht="21" customHeight="1" spans="1:2">
      <c r="A21" s="224" t="s">
        <v>739</v>
      </c>
      <c r="B21" s="220">
        <v>10547</v>
      </c>
    </row>
    <row r="22" ht="21" customHeight="1" spans="1:2">
      <c r="A22" s="224" t="s">
        <v>740</v>
      </c>
      <c r="B22" s="220">
        <v>338</v>
      </c>
    </row>
    <row r="23" ht="21" customHeight="1" spans="1:2">
      <c r="A23" s="224" t="s">
        <v>741</v>
      </c>
      <c r="B23" s="220">
        <v>7746</v>
      </c>
    </row>
    <row r="24" ht="21" customHeight="1" spans="1:2">
      <c r="A24" s="224" t="s">
        <v>742</v>
      </c>
      <c r="B24" s="220">
        <v>3889</v>
      </c>
    </row>
    <row r="25" ht="21" customHeight="1" spans="1:2">
      <c r="A25" s="224" t="s">
        <v>743</v>
      </c>
      <c r="B25" s="220">
        <v>1816</v>
      </c>
    </row>
    <row r="26" ht="21" customHeight="1" spans="1:2">
      <c r="A26" s="224" t="s">
        <v>744</v>
      </c>
      <c r="B26" s="220">
        <v>140</v>
      </c>
    </row>
    <row r="27" ht="21" customHeight="1" spans="1:2">
      <c r="A27" s="225" t="s">
        <v>745</v>
      </c>
      <c r="B27" s="220">
        <v>12087</v>
      </c>
    </row>
    <row r="28" ht="21" customHeight="1" spans="1:2">
      <c r="A28" s="225" t="s">
        <v>746</v>
      </c>
      <c r="B28" s="220">
        <v>2834</v>
      </c>
    </row>
    <row r="29" ht="21" customHeight="1" spans="1:2">
      <c r="A29" s="224" t="s">
        <v>747</v>
      </c>
      <c r="B29" s="220">
        <v>1617</v>
      </c>
    </row>
    <row r="30" ht="21" customHeight="1" spans="1:2">
      <c r="A30" s="225" t="s">
        <v>748</v>
      </c>
      <c r="B30" s="220">
        <v>514</v>
      </c>
    </row>
    <row r="31" ht="21" customHeight="1" spans="1:2">
      <c r="A31" s="223" t="s">
        <v>749</v>
      </c>
      <c r="B31" s="220">
        <v>11113</v>
      </c>
    </row>
    <row r="32" ht="21" customHeight="1" spans="1:2">
      <c r="A32" s="226" t="s">
        <v>750</v>
      </c>
      <c r="B32" s="227">
        <f>SUM(B33:B50)</f>
        <v>41330</v>
      </c>
    </row>
    <row r="33" ht="21" customHeight="1" spans="1:2">
      <c r="A33" s="223" t="s">
        <v>751</v>
      </c>
      <c r="B33" s="220">
        <v>572</v>
      </c>
    </row>
    <row r="34" ht="21" customHeight="1" spans="1:2">
      <c r="A34" s="223" t="s">
        <v>752</v>
      </c>
      <c r="B34" s="220">
        <v>1</v>
      </c>
    </row>
    <row r="35" ht="21" customHeight="1" spans="1:2">
      <c r="A35" s="223" t="s">
        <v>753</v>
      </c>
      <c r="B35" s="220">
        <v>2132</v>
      </c>
    </row>
    <row r="36" ht="21" customHeight="1" spans="1:2">
      <c r="A36" s="223" t="s">
        <v>754</v>
      </c>
      <c r="B36" s="220">
        <v>140</v>
      </c>
    </row>
    <row r="37" ht="21" customHeight="1" spans="1:2">
      <c r="A37" s="223" t="s">
        <v>755</v>
      </c>
      <c r="B37" s="220">
        <v>411</v>
      </c>
    </row>
    <row r="38" ht="21" customHeight="1" spans="1:2">
      <c r="A38" s="223" t="s">
        <v>756</v>
      </c>
      <c r="B38" s="220">
        <v>2452</v>
      </c>
    </row>
    <row r="39" ht="21" customHeight="1" spans="1:2">
      <c r="A39" s="223" t="s">
        <v>757</v>
      </c>
      <c r="B39" s="220">
        <v>1072</v>
      </c>
    </row>
    <row r="40" ht="21" customHeight="1" spans="1:2">
      <c r="A40" s="223" t="s">
        <v>758</v>
      </c>
      <c r="B40" s="220">
        <v>1796</v>
      </c>
    </row>
    <row r="41" ht="21" customHeight="1" spans="1:2">
      <c r="A41" s="223" t="s">
        <v>759</v>
      </c>
      <c r="B41" s="220">
        <v>438</v>
      </c>
    </row>
    <row r="42" ht="21" customHeight="1" spans="1:2">
      <c r="A42" s="223" t="s">
        <v>760</v>
      </c>
      <c r="B42" s="220">
        <v>24176</v>
      </c>
    </row>
    <row r="43" ht="21" customHeight="1" spans="1:2">
      <c r="A43" s="223" t="s">
        <v>761</v>
      </c>
      <c r="B43" s="220">
        <v>185</v>
      </c>
    </row>
    <row r="44" ht="21" customHeight="1" spans="1:2">
      <c r="A44" s="223" t="s">
        <v>762</v>
      </c>
      <c r="B44" s="220">
        <v>5121</v>
      </c>
    </row>
    <row r="45" ht="21" customHeight="1" spans="1:2">
      <c r="A45" s="223" t="s">
        <v>763</v>
      </c>
      <c r="B45" s="220">
        <v>1092</v>
      </c>
    </row>
    <row r="46" ht="21" customHeight="1" spans="1:2">
      <c r="A46" s="223" t="s">
        <v>764</v>
      </c>
      <c r="B46" s="220">
        <v>-49</v>
      </c>
    </row>
    <row r="47" ht="21" customHeight="1" spans="1:2">
      <c r="A47" s="223" t="s">
        <v>765</v>
      </c>
      <c r="B47" s="220">
        <v>300</v>
      </c>
    </row>
    <row r="48" ht="21" customHeight="1" spans="1:2">
      <c r="A48" s="223" t="s">
        <v>766</v>
      </c>
      <c r="B48" s="220">
        <v>101</v>
      </c>
    </row>
    <row r="49" ht="21" customHeight="1" spans="1:2">
      <c r="A49" s="223" t="s">
        <v>767</v>
      </c>
      <c r="B49" s="220">
        <v>1239</v>
      </c>
    </row>
    <row r="50" ht="21" customHeight="1" spans="1:2">
      <c r="A50" s="223" t="s">
        <v>768</v>
      </c>
      <c r="B50" s="220">
        <v>151</v>
      </c>
    </row>
    <row r="51" spans="1:2">
      <c r="A51" s="228"/>
      <c r="B51" s="229"/>
    </row>
  </sheetData>
  <mergeCells count="4">
    <mergeCell ref="A2:B2"/>
    <mergeCell ref="A3:B3"/>
    <mergeCell ref="A4:A5"/>
    <mergeCell ref="B4:B5"/>
  </mergeCells>
  <pageMargins left="0.511811023622047" right="0.511811023622047" top="0.748031496062992" bottom="0.748031496062992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18</vt:i4>
      </vt:variant>
    </vt:vector>
  </HeadingPairs>
  <TitlesOfParts>
    <vt:vector size="18" baseType="lpstr">
      <vt:lpstr>目录</vt:lpstr>
      <vt:lpstr>公共预算收入决算情况表</vt:lpstr>
      <vt:lpstr>公共预算支出决算情况表</vt:lpstr>
      <vt:lpstr>公共预算支出决算情况表（政府经济科目）</vt:lpstr>
      <vt:lpstr>县本级公共预算收入决算情况表</vt:lpstr>
      <vt:lpstr>县本级公共预算支出决算情况表</vt:lpstr>
      <vt:lpstr>县本级公共预算支出决算情况表（政府经济科目）</vt:lpstr>
      <vt:lpstr>县本级公共预算基本支出决算表</vt:lpstr>
      <vt:lpstr>一般公共预算税收返还和转移支付决算表</vt:lpstr>
      <vt:lpstr>基金收入决算情况表</vt:lpstr>
      <vt:lpstr>基金支出决算情况表</vt:lpstr>
      <vt:lpstr>政府性基金转移支付决算表</vt:lpstr>
      <vt:lpstr>社会保险基金收入决算表</vt:lpstr>
      <vt:lpstr>国有资本经营预算收入决算表</vt:lpstr>
      <vt:lpstr>国有资本经营预算支出决算表</vt:lpstr>
      <vt:lpstr>预备费使用情况</vt:lpstr>
      <vt:lpstr>政府一般债务限额和余额情况决算表</vt:lpstr>
      <vt:lpstr>乡镇结算表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逃禅煮石</cp:lastModifiedBy>
  <dcterms:created xsi:type="dcterms:W3CDTF">2018-05-30T10:25:00Z</dcterms:created>
  <cp:lastPrinted>2020-06-22T05:54:00Z</cp:lastPrinted>
  <dcterms:modified xsi:type="dcterms:W3CDTF">2022-08-31T09:39:01Z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2052-11.1.0.12313</vt:lpwstr>
  </property>
  <property fmtid="{D5CDD505-2E9C-101B-9397-08002B2CF9AE}" pid="3" name="ICV">
    <vt:lpwstr>272A80E815664A4FAAEBD368B93804F8</vt:lpwstr>
  </property>
</Properties>
</file>